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5225" windowHeight="9555" firstSheet="7" activeTab="10"/>
  </bookViews>
  <sheets>
    <sheet name="04-05 Usage" sheetId="1" r:id="rId1"/>
    <sheet name="05-06 Usage" sheetId="2" r:id="rId2"/>
    <sheet name="06-07 Usage" sheetId="3" r:id="rId3"/>
    <sheet name="07-08 Usage" sheetId="4" r:id="rId4"/>
    <sheet name="08-09 Usage" sheetId="5" r:id="rId5"/>
    <sheet name="Month Comparison" sheetId="6" r:id="rId6"/>
    <sheet name="09-10 Usage" sheetId="7" r:id="rId7"/>
    <sheet name="10-11 Usage" sheetId="8" r:id="rId8"/>
    <sheet name="11-12 Usage" sheetId="9" r:id="rId9"/>
    <sheet name="12-13 Usage" sheetId="10" r:id="rId10"/>
    <sheet name="13-14 Usage" sheetId="11" r:id="rId11"/>
    <sheet name="VLOOKUP TABLE" sheetId="12" state="hidden" r:id="rId12"/>
  </sheets>
  <externalReferences>
    <externalReference r:id="rId15"/>
  </externalReferences>
  <definedNames>
    <definedName name="_xlfn.BAHTTEXT" hidden="1">#NAME?</definedName>
    <definedName name="_xlnm.Print_Area" localSheetId="5">'Month Comparison'!$A$3:$G$37</definedName>
  </definedNames>
  <calcPr fullCalcOnLoad="1"/>
</workbook>
</file>

<file path=xl/comments11.xml><?xml version="1.0" encoding="utf-8"?>
<comments xmlns="http://schemas.openxmlformats.org/spreadsheetml/2006/main">
  <authors>
    <author>GRISD</author>
  </authors>
  <commentList>
    <comment ref="D4" authorId="0">
      <text>
        <r>
          <rPr>
            <b/>
            <sz val="8"/>
            <rFont val="Tahoma"/>
            <family val="2"/>
          </rPr>
          <t>GRISD:</t>
        </r>
        <r>
          <rPr>
            <sz val="8"/>
            <rFont val="Tahoma"/>
            <family val="2"/>
          </rPr>
          <t xml:space="preserve">
Changed from 179 to 73 per October billing.</t>
        </r>
      </text>
    </comment>
    <comment ref="E4" authorId="0">
      <text>
        <r>
          <rPr>
            <b/>
            <sz val="8"/>
            <rFont val="Tahoma"/>
            <family val="2"/>
          </rPr>
          <t>GRISD:</t>
        </r>
        <r>
          <rPr>
            <sz val="8"/>
            <rFont val="Tahoma"/>
            <family val="2"/>
          </rPr>
          <t xml:space="preserve">
Changed from $35.27 to $19.15 - $35.27 per October billing.</t>
        </r>
      </text>
    </comment>
    <comment ref="D30" authorId="0">
      <text>
        <r>
          <rPr>
            <b/>
            <sz val="8"/>
            <rFont val="Tahoma"/>
            <family val="2"/>
          </rPr>
          <t>GRISD:</t>
        </r>
        <r>
          <rPr>
            <sz val="8"/>
            <rFont val="Tahoma"/>
            <family val="2"/>
          </rPr>
          <t xml:space="preserve">
Changed from 1,296 to 466 per October billing.</t>
        </r>
      </text>
    </comment>
  </commentList>
</comments>
</file>

<file path=xl/sharedStrings.xml><?xml version="1.0" encoding="utf-8"?>
<sst xmlns="http://schemas.openxmlformats.org/spreadsheetml/2006/main" count="1328" uniqueCount="291">
  <si>
    <t>Location</t>
  </si>
  <si>
    <t>901 B Stadium</t>
  </si>
  <si>
    <t>High School</t>
  </si>
  <si>
    <t>Admin Bldg</t>
  </si>
  <si>
    <t>JH Maint Bldg</t>
  </si>
  <si>
    <t>JH Fenced Area</t>
  </si>
  <si>
    <t>JH Gym</t>
  </si>
  <si>
    <t>J H</t>
  </si>
  <si>
    <t>Tiger Stad Sign</t>
  </si>
  <si>
    <t>J H Shop</t>
  </si>
  <si>
    <t>Bus Barn Storage Bldg</t>
  </si>
  <si>
    <t>Large Baseball Field</t>
  </si>
  <si>
    <t>Intermediate</t>
  </si>
  <si>
    <t>HS Tennis Courts</t>
  </si>
  <si>
    <t>Auditorium</t>
  </si>
  <si>
    <t>Ag Barn</t>
  </si>
  <si>
    <t>Baseball fields</t>
  </si>
  <si>
    <t>New Field House</t>
  </si>
  <si>
    <t>Maint. Bldg - Tin</t>
  </si>
  <si>
    <t>HS Vocation Bldg</t>
  </si>
  <si>
    <t>Small Baseball Fields</t>
  </si>
  <si>
    <t>HS Portable Bldg</t>
  </si>
  <si>
    <t xml:space="preserve">  Sept 2004</t>
  </si>
  <si>
    <t xml:space="preserve">   Oct 2004</t>
  </si>
  <si>
    <t xml:space="preserve">  Nov 2004</t>
  </si>
  <si>
    <t xml:space="preserve">   Dec 2004</t>
  </si>
  <si>
    <t xml:space="preserve">   Jan 2005</t>
  </si>
  <si>
    <t xml:space="preserve">   Feb 2005</t>
  </si>
  <si>
    <t xml:space="preserve">   March 2005</t>
  </si>
  <si>
    <t xml:space="preserve">   April 2005</t>
  </si>
  <si>
    <t xml:space="preserve">   May 2005</t>
  </si>
  <si>
    <t xml:space="preserve">   June 2005</t>
  </si>
  <si>
    <t xml:space="preserve">   July 2005</t>
  </si>
  <si>
    <t xml:space="preserve">   Aug 2005</t>
  </si>
  <si>
    <t>Elementary</t>
  </si>
  <si>
    <t>Usage</t>
  </si>
  <si>
    <t>Amount</t>
  </si>
  <si>
    <t xml:space="preserve">         Total</t>
  </si>
  <si>
    <t xml:space="preserve">  Sept 2005</t>
  </si>
  <si>
    <t xml:space="preserve">   Oct 2005</t>
  </si>
  <si>
    <t xml:space="preserve">  Nov 2005</t>
  </si>
  <si>
    <t xml:space="preserve">   Dec 2005</t>
  </si>
  <si>
    <t xml:space="preserve">   Jan 2006</t>
  </si>
  <si>
    <t xml:space="preserve">   Feb 2006</t>
  </si>
  <si>
    <t xml:space="preserve">   March 2006</t>
  </si>
  <si>
    <t xml:space="preserve">   April 2006</t>
  </si>
  <si>
    <t xml:space="preserve">   May 2006</t>
  </si>
  <si>
    <t xml:space="preserve">   June 2006</t>
  </si>
  <si>
    <t xml:space="preserve">   July 2006</t>
  </si>
  <si>
    <t xml:space="preserve">   Aug 2006</t>
  </si>
  <si>
    <t>Holden St Security Lgt</t>
  </si>
  <si>
    <t xml:space="preserve">  Sept 2006</t>
  </si>
  <si>
    <t xml:space="preserve">   Oct 2006</t>
  </si>
  <si>
    <t xml:space="preserve">  Nov 2006</t>
  </si>
  <si>
    <t>Large baseball fields</t>
  </si>
  <si>
    <t xml:space="preserve">      Jan 2007</t>
  </si>
  <si>
    <t xml:space="preserve">   Dec 2006</t>
  </si>
  <si>
    <t xml:space="preserve">   Feb 2007</t>
  </si>
  <si>
    <t xml:space="preserve">   March 2007</t>
  </si>
  <si>
    <t xml:space="preserve">   April 2007</t>
  </si>
  <si>
    <t xml:space="preserve">   May 2007</t>
  </si>
  <si>
    <t xml:space="preserve">   June 2007</t>
  </si>
  <si>
    <t xml:space="preserve">   July 2007</t>
  </si>
  <si>
    <t xml:space="preserve">   Aug 2007</t>
  </si>
  <si>
    <t xml:space="preserve">  Sept 2007</t>
  </si>
  <si>
    <t xml:space="preserve">   Oct 2007</t>
  </si>
  <si>
    <t xml:space="preserve">  Nov 2007</t>
  </si>
  <si>
    <t xml:space="preserve">   Dec 2007</t>
  </si>
  <si>
    <t xml:space="preserve">   Feb 2008</t>
  </si>
  <si>
    <t xml:space="preserve">   March 2008</t>
  </si>
  <si>
    <t xml:space="preserve">      Jan 2008</t>
  </si>
  <si>
    <t xml:space="preserve">   April 2008</t>
  </si>
  <si>
    <t xml:space="preserve">   May 2008</t>
  </si>
  <si>
    <t xml:space="preserve">   June 2008</t>
  </si>
  <si>
    <t xml:space="preserve">   July 2008</t>
  </si>
  <si>
    <t xml:space="preserve">   Aug 2008</t>
  </si>
  <si>
    <t>New Tech Center</t>
  </si>
  <si>
    <t xml:space="preserve">  Sept 2008</t>
  </si>
  <si>
    <t xml:space="preserve">   Oct 2008</t>
  </si>
  <si>
    <t xml:space="preserve">  Nov 2008</t>
  </si>
  <si>
    <t xml:space="preserve">   Dec 2008</t>
  </si>
  <si>
    <t xml:space="preserve">   Feb 2009</t>
  </si>
  <si>
    <t xml:space="preserve">   March 2009</t>
  </si>
  <si>
    <t xml:space="preserve">   April 2009</t>
  </si>
  <si>
    <t xml:space="preserve">   May 2009</t>
  </si>
  <si>
    <t xml:space="preserve">   July 2009</t>
  </si>
  <si>
    <t xml:space="preserve">   Aug 2009</t>
  </si>
  <si>
    <t>Address on Bill</t>
  </si>
  <si>
    <t>Stadium Dr U Pump</t>
  </si>
  <si>
    <t>Stadium Dr U Stad</t>
  </si>
  <si>
    <t>Stadium Dr B Hi S</t>
  </si>
  <si>
    <t>Stadium Dr Bhi S</t>
  </si>
  <si>
    <t>Stadiuj Dr Bhi S</t>
  </si>
  <si>
    <t>1101 Stadium Dr B Admin</t>
  </si>
  <si>
    <t>501 Stadium Dr B Elem</t>
  </si>
  <si>
    <t>305 Gaither St B US Brn</t>
  </si>
  <si>
    <t>Holden St MSC Mid SC</t>
  </si>
  <si>
    <t>Holden St Seclite</t>
  </si>
  <si>
    <t>710 College Ave B Gym</t>
  </si>
  <si>
    <t>College Ave B GED</t>
  </si>
  <si>
    <t>NE Big Bend TR</t>
  </si>
  <si>
    <t>College Ave B Temp</t>
  </si>
  <si>
    <t>900 Stadium DR U Bus BR</t>
  </si>
  <si>
    <t>1300 SW Barnard St U Ball</t>
  </si>
  <si>
    <t>Stadium Dr MSC Interm</t>
  </si>
  <si>
    <t>SW Big Bend TR MSC Tennis</t>
  </si>
  <si>
    <t>Stadium DR MSC Audito</t>
  </si>
  <si>
    <t>FM 56 N Som Co Ubarn</t>
  </si>
  <si>
    <t>Stadium Dr B Ball</t>
  </si>
  <si>
    <t>Stadium DR U Field</t>
  </si>
  <si>
    <t>Stadium DR</t>
  </si>
  <si>
    <t>Stadium DR MSC Voc</t>
  </si>
  <si>
    <t>SW Barnard ST U Ball</t>
  </si>
  <si>
    <t>Stadium DR U Port 1</t>
  </si>
  <si>
    <t>707 S W Big Bend Trail</t>
  </si>
  <si>
    <t>10400512747470001</t>
  </si>
  <si>
    <t>10400512747470002</t>
  </si>
  <si>
    <t>10400512747470003</t>
  </si>
  <si>
    <t>10400512747480001</t>
  </si>
  <si>
    <t>10400512747490001</t>
  </si>
  <si>
    <t>10400512747490002</t>
  </si>
  <si>
    <t>10400512747490003</t>
  </si>
  <si>
    <t>10400512747490006</t>
  </si>
  <si>
    <t>10400512747500001</t>
  </si>
  <si>
    <t>10400512747520001</t>
  </si>
  <si>
    <t>10400512747800001</t>
  </si>
  <si>
    <t>10400512750320001</t>
  </si>
  <si>
    <t>10400512750970001</t>
  </si>
  <si>
    <t>10400512750980001</t>
  </si>
  <si>
    <t>10400512750990001</t>
  </si>
  <si>
    <t>10400512754500001</t>
  </si>
  <si>
    <t>10400513226120001</t>
  </si>
  <si>
    <t>10400513307090001</t>
  </si>
  <si>
    <t>10400513319180001</t>
  </si>
  <si>
    <t>10400513348220001</t>
  </si>
  <si>
    <t>10400513455290001</t>
  </si>
  <si>
    <t>10400513464320001</t>
  </si>
  <si>
    <t>10400513507570001</t>
  </si>
  <si>
    <t>10400513597460001</t>
  </si>
  <si>
    <t>10400513597460002</t>
  </si>
  <si>
    <t>10400513601340001</t>
  </si>
  <si>
    <t>10400513623510001</t>
  </si>
  <si>
    <t>10400513729710001</t>
  </si>
  <si>
    <t>10400513937110001</t>
  </si>
  <si>
    <t>10400513941340001</t>
  </si>
  <si>
    <t>10400514050940001</t>
  </si>
  <si>
    <t>June 2009</t>
  </si>
  <si>
    <t>Jan 2009</t>
  </si>
  <si>
    <t>10400512747510001</t>
  </si>
  <si>
    <t>Mart Constr (702 SW Big Bnd)</t>
  </si>
  <si>
    <t>Mart Constr(Tech Cntr)</t>
  </si>
  <si>
    <t>600 Texas Dr</t>
  </si>
  <si>
    <t>10400514567560001</t>
  </si>
  <si>
    <t>Land Purchase</t>
  </si>
  <si>
    <t xml:space="preserve">  Sept 2009</t>
  </si>
  <si>
    <t xml:space="preserve">   Oct 2009</t>
  </si>
  <si>
    <t xml:space="preserve">  Nov 2009</t>
  </si>
  <si>
    <t>Jan 2010</t>
  </si>
  <si>
    <t>Feb 2010</t>
  </si>
  <si>
    <t>March 2010</t>
  </si>
  <si>
    <t>April 2010</t>
  </si>
  <si>
    <t>Dec 2009</t>
  </si>
  <si>
    <t>May 2010</t>
  </si>
  <si>
    <t>June 2010</t>
  </si>
  <si>
    <t>July 2010</t>
  </si>
  <si>
    <t>Aug 2010</t>
  </si>
  <si>
    <t>702 College Ave</t>
  </si>
  <si>
    <t>10400512754620001</t>
  </si>
  <si>
    <t>Rental House</t>
  </si>
  <si>
    <t xml:space="preserve">  Sept 2010</t>
  </si>
  <si>
    <t xml:space="preserve">   Oct 2010</t>
  </si>
  <si>
    <t xml:space="preserve">  Nov 2010</t>
  </si>
  <si>
    <t>Dec 2010</t>
  </si>
  <si>
    <t>Jan 2011</t>
  </si>
  <si>
    <t>Feb 2011</t>
  </si>
  <si>
    <t>March 2011</t>
  </si>
  <si>
    <t>April 2011</t>
  </si>
  <si>
    <t>May 2011</t>
  </si>
  <si>
    <t>June 2011</t>
  </si>
  <si>
    <t>July 2011</t>
  </si>
  <si>
    <t>Aug 2011</t>
  </si>
  <si>
    <t>601 Stadium Dr Sign</t>
  </si>
  <si>
    <t>10400515018860001</t>
  </si>
  <si>
    <t>Elem Electronic Sign</t>
  </si>
  <si>
    <t>Paid on 1/28/11</t>
  </si>
  <si>
    <t>ck # 36431</t>
  </si>
  <si>
    <t>Total for Dec &amp; Jan</t>
  </si>
  <si>
    <t>combined $88,069.62</t>
  </si>
  <si>
    <t xml:space="preserve">#'s in red were billed </t>
  </si>
  <si>
    <t>and paid on 3/11/11</t>
  </si>
  <si>
    <t xml:space="preserve">  Sept 2011</t>
  </si>
  <si>
    <t xml:space="preserve">   Oct 2011</t>
  </si>
  <si>
    <t xml:space="preserve">  Nov 2011</t>
  </si>
  <si>
    <t>Dec 2011</t>
  </si>
  <si>
    <t>Jan 2012</t>
  </si>
  <si>
    <t>Feb 2012</t>
  </si>
  <si>
    <t>March 2012</t>
  </si>
  <si>
    <t>April 2012</t>
  </si>
  <si>
    <t>May 2012</t>
  </si>
  <si>
    <t>June 2012</t>
  </si>
  <si>
    <t>July 2012</t>
  </si>
  <si>
    <t>Aug 2012</t>
  </si>
  <si>
    <t>705 S W Big Bend Trail</t>
  </si>
  <si>
    <t>1300 S W Barnard</t>
  </si>
  <si>
    <t>Lights Softball</t>
  </si>
  <si>
    <t>S W Barnard</t>
  </si>
  <si>
    <t>Softball fields</t>
  </si>
  <si>
    <t>Tiger Arena</t>
  </si>
  <si>
    <t>1001 Stadium Drive</t>
  </si>
  <si>
    <t>10400515356300001</t>
  </si>
  <si>
    <t>1300 SW Barnard</t>
  </si>
  <si>
    <t>10400515208090001</t>
  </si>
  <si>
    <t>Beck Field Concession Stand</t>
  </si>
  <si>
    <t xml:space="preserve">  Sept 2012</t>
  </si>
  <si>
    <t xml:space="preserve">   Oct 2012</t>
  </si>
  <si>
    <t xml:space="preserve">  Nov 2012</t>
  </si>
  <si>
    <t>Dec 2012</t>
  </si>
  <si>
    <t>Jan 2013</t>
  </si>
  <si>
    <t>Feb 2013</t>
  </si>
  <si>
    <t>March 2013</t>
  </si>
  <si>
    <t>April 2013</t>
  </si>
  <si>
    <t>May 2013</t>
  </si>
  <si>
    <t>June 2013</t>
  </si>
  <si>
    <t>July 2013</t>
  </si>
  <si>
    <t>Aug 2013</t>
  </si>
  <si>
    <r>
      <rPr>
        <b/>
        <sz val="10"/>
        <color indexed="10"/>
        <rFont val="Arial"/>
        <family val="2"/>
      </rPr>
      <t xml:space="preserve">Note: </t>
    </r>
    <r>
      <rPr>
        <sz val="10"/>
        <rFont val="Arial"/>
        <family val="2"/>
      </rPr>
      <t>Red font signifies usage that came through in the wrong month.  For example, for the Rental House on 702 College Ave., the January bill contained the usage for both December and January.  As a result, we have to move the December usage into the December column for correct presentation.  Otherwise, December usage would be understated and January usage would be overstated.  We noted there are multiple locations with zero usage for the current month.  We expect the current month usage to come through in next month's bill.  We will update the current month column at that point, but until then we consider the current month usage to be understated in total.</t>
    </r>
  </si>
  <si>
    <t>Total Charges on Current Bill</t>
  </si>
  <si>
    <t>Reconciliation:</t>
  </si>
  <si>
    <t>Plus charges for current month on previous bill</t>
  </si>
  <si>
    <t>Less charges on current bill belonging in prior months</t>
  </si>
  <si>
    <t>Total Charges for August 2013</t>
  </si>
  <si>
    <t xml:space="preserve">  Sept 2013</t>
  </si>
  <si>
    <t xml:space="preserve">   Oct 2013</t>
  </si>
  <si>
    <t xml:space="preserve">  Nov 2013</t>
  </si>
  <si>
    <t>Dec 2013</t>
  </si>
  <si>
    <t>Jan 2014</t>
  </si>
  <si>
    <t>Feb 2014</t>
  </si>
  <si>
    <t>March 2014</t>
  </si>
  <si>
    <t>April 2014</t>
  </si>
  <si>
    <t>May 2014</t>
  </si>
  <si>
    <t>June 2014</t>
  </si>
  <si>
    <t>July 2014</t>
  </si>
  <si>
    <t>Aug 2014</t>
  </si>
  <si>
    <t>Total Charges for September 2013</t>
  </si>
  <si>
    <t>Total Charges for October 2013</t>
  </si>
  <si>
    <t>STADIUM DR U PUMP</t>
  </si>
  <si>
    <t>901B Stadium, Glen Rose</t>
  </si>
  <si>
    <t>STADIUM DR 1000W Flood</t>
  </si>
  <si>
    <t>Stadium Dr 100W Seclt</t>
  </si>
  <si>
    <t>Glen Rose High School</t>
  </si>
  <si>
    <t>Stadium Dr 175 W Seclt</t>
  </si>
  <si>
    <t>Stadium Dr 400W Flood</t>
  </si>
  <si>
    <t>Stadium Dr 1000W Flood</t>
  </si>
  <si>
    <t>Glen Rose Adm Bldg</t>
  </si>
  <si>
    <t>Tech Center</t>
  </si>
  <si>
    <t>Glen Rose Elementary</t>
  </si>
  <si>
    <t>Glen Rose Jr High</t>
  </si>
  <si>
    <t>Glen Rose JH Fenced Area</t>
  </si>
  <si>
    <t>JH Security Light</t>
  </si>
  <si>
    <t>Glen Rose Jr High Gym</t>
  </si>
  <si>
    <t>Glen Rose Jr. High</t>
  </si>
  <si>
    <t>702 College Ave.</t>
  </si>
  <si>
    <t>Rental house</t>
  </si>
  <si>
    <t>Glen Rose Tiger Stadium Sign</t>
  </si>
  <si>
    <t>Glen Rose Jr. High Shop</t>
  </si>
  <si>
    <t>Glen Rose Bus Barn Storage Bldg</t>
  </si>
  <si>
    <t>Ball Field Lights</t>
  </si>
  <si>
    <t>Glen Rose Intermediate Bldg</t>
  </si>
  <si>
    <t>Glen Rose HS Tennis Courts</t>
  </si>
  <si>
    <t>Glen Rose HS Auditorium</t>
  </si>
  <si>
    <t>FM 56 N Som Co U Barn</t>
  </si>
  <si>
    <t>Glen Rose AG Barn</t>
  </si>
  <si>
    <t>FM 56 N Som Co 100W Seclt</t>
  </si>
  <si>
    <t>Glen Rose Baseball Fields</t>
  </si>
  <si>
    <t>Glen Rose Field House New</t>
  </si>
  <si>
    <t>Glen Rose Maint Bldg Tin</t>
  </si>
  <si>
    <t>Glen Rose HS Vocational Bldg</t>
  </si>
  <si>
    <t>Barnard St Ball fields</t>
  </si>
  <si>
    <t>Glen Rose HS Portable Bldg.</t>
  </si>
  <si>
    <t>600 Texas Drive</t>
  </si>
  <si>
    <t>601 Stadium Drive</t>
  </si>
  <si>
    <t>Elementary Sign</t>
  </si>
  <si>
    <t>1300 SW Barnard St</t>
  </si>
  <si>
    <t>Acct Number</t>
  </si>
  <si>
    <t>Address</t>
  </si>
  <si>
    <t>Start Date</t>
  </si>
  <si>
    <t>End Date</t>
  </si>
  <si>
    <t>DE Charge</t>
  </si>
  <si>
    <t xml:space="preserve">TNMP </t>
  </si>
  <si>
    <t>Adj</t>
  </si>
  <si>
    <t>Total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</si>
</sst>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00000"/>
    <numFmt numFmtId="166" formatCode="[$-409]dddd\,\ mmmm\ dd\,\ yyyy"/>
    <numFmt numFmtId="167" formatCode="[$-409]h:mm:ss\ AM/PM"/>
    <numFmt numFmtId="168" formatCode="00000.0"/>
    <numFmt numFmtId="169" formatCode="0.000"/>
    <numFmt numFmtId="170" formatCode="0.0"/>
    <numFmt numFmtId="171" formatCode="0.00_);[Red]\(0.00\)"/>
    <numFmt numFmtId="172" formatCode="0.00;[Red]0.00"/>
    <numFmt numFmtId="173" formatCode="&quot;$&quot;#,##0.00"/>
    <numFmt numFmtId="174" formatCode="0.000;[Red]0.000"/>
    <numFmt numFmtId="175" formatCode="0.0000;[Red]0.0000"/>
    <numFmt numFmtId="176" formatCode="0.0000"/>
    <numFmt numFmtId="177" formatCode="_(* #,##0.000_);_(* \(#,##0.000\);_(* &quot;-&quot;??_);_(@_)"/>
    <numFmt numFmtId="178" formatCode="_(* #,##0.0000_);_(* \(#,##0.0000\);_(* &quot;-&quot;??_);_(@_)"/>
    <numFmt numFmtId="179" formatCode="_(* #,##0.0_);_(* \(#,##0.0\);_(* &quot;-&quot;??_);_(@_)"/>
    <numFmt numFmtId="180" formatCode="_(* #,##0_);_(* \(#,##0\);_(* &quot;-&quot;??_);_(@_)"/>
  </numFmts>
  <fonts count="48">
    <font>
      <sz val="10"/>
      <name val="Arial"/>
      <family val="0"/>
    </font>
    <font>
      <b/>
      <sz val="10"/>
      <name val="Arial"/>
      <family val="2"/>
    </font>
    <font>
      <b/>
      <sz val="10"/>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2"/>
      <name val="Arial"/>
      <family val="2"/>
    </font>
    <font>
      <b/>
      <sz val="10"/>
      <color indexed="1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Arial"/>
      <family val="2"/>
    </font>
    <font>
      <b/>
      <sz val="10"/>
      <color rgb="FF0000FF"/>
      <name val="Arial"/>
      <family val="2"/>
    </font>
    <font>
      <sz val="10"/>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medium"/>
      <right/>
      <top/>
      <bottom/>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1">
    <xf numFmtId="0" fontId="0" fillId="0" borderId="0" xfId="0" applyAlignment="1">
      <alignment/>
    </xf>
    <xf numFmtId="17" fontId="1" fillId="0" borderId="0" xfId="0" applyNumberFormat="1" applyFont="1" applyAlignment="1">
      <alignment horizontal="center"/>
    </xf>
    <xf numFmtId="2" fontId="1" fillId="0" borderId="10" xfId="0" applyNumberFormat="1" applyFont="1" applyBorder="1" applyAlignment="1">
      <alignment horizontal="center"/>
    </xf>
    <xf numFmtId="2" fontId="0" fillId="0" borderId="10" xfId="0" applyNumberFormat="1" applyBorder="1" applyAlignment="1">
      <alignment/>
    </xf>
    <xf numFmtId="17" fontId="1" fillId="0" borderId="10" xfId="0" applyNumberFormat="1" applyFont="1" applyBorder="1" applyAlignment="1">
      <alignment horizontal="center"/>
    </xf>
    <xf numFmtId="0" fontId="1" fillId="0" borderId="10" xfId="0" applyFont="1" applyBorder="1" applyAlignment="1">
      <alignment/>
    </xf>
    <xf numFmtId="0" fontId="0" fillId="0" borderId="10" xfId="0" applyBorder="1" applyAlignment="1">
      <alignment/>
    </xf>
    <xf numFmtId="1" fontId="0" fillId="0" borderId="0" xfId="0" applyNumberFormat="1" applyAlignment="1">
      <alignment/>
    </xf>
    <xf numFmtId="0" fontId="0" fillId="0" borderId="11" xfId="0" applyBorder="1" applyAlignment="1">
      <alignment/>
    </xf>
    <xf numFmtId="0" fontId="0" fillId="0" borderId="12" xfId="0" applyBorder="1" applyAlignment="1">
      <alignment/>
    </xf>
    <xf numFmtId="2" fontId="0" fillId="0" borderId="11" xfId="0" applyNumberFormat="1" applyBorder="1" applyAlignment="1">
      <alignment/>
    </xf>
    <xf numFmtId="0" fontId="1" fillId="0" borderId="13" xfId="0" applyFont="1" applyBorder="1" applyAlignment="1">
      <alignment/>
    </xf>
    <xf numFmtId="0" fontId="1" fillId="0" borderId="14" xfId="0" applyFont="1" applyBorder="1" applyAlignment="1">
      <alignment/>
    </xf>
    <xf numFmtId="2" fontId="1" fillId="0" borderId="13" xfId="0" applyNumberFormat="1" applyFont="1" applyBorder="1" applyAlignment="1">
      <alignment/>
    </xf>
    <xf numFmtId="0" fontId="1" fillId="0" borderId="11" xfId="0" applyFont="1" applyBorder="1" applyAlignment="1">
      <alignment/>
    </xf>
    <xf numFmtId="0" fontId="1" fillId="0" borderId="12" xfId="0" applyFont="1" applyBorder="1" applyAlignment="1">
      <alignment/>
    </xf>
    <xf numFmtId="2" fontId="1" fillId="0" borderId="11" xfId="0" applyNumberFormat="1" applyFont="1" applyBorder="1" applyAlignment="1">
      <alignment/>
    </xf>
    <xf numFmtId="0" fontId="0" fillId="0" borderId="0" xfId="0" applyFill="1" applyBorder="1" applyAlignment="1">
      <alignment/>
    </xf>
    <xf numFmtId="2" fontId="0" fillId="0" borderId="0" xfId="0" applyNumberFormat="1" applyAlignment="1">
      <alignment/>
    </xf>
    <xf numFmtId="1" fontId="1" fillId="0" borderId="0" xfId="0" applyNumberFormat="1" applyFont="1" applyAlignment="1">
      <alignment horizontal="center"/>
    </xf>
    <xf numFmtId="1" fontId="1" fillId="0" borderId="14" xfId="0" applyNumberFormat="1" applyFont="1" applyBorder="1" applyAlignment="1">
      <alignment/>
    </xf>
    <xf numFmtId="1" fontId="1" fillId="0" borderId="12" xfId="0" applyNumberFormat="1" applyFont="1" applyBorder="1" applyAlignment="1">
      <alignment/>
    </xf>
    <xf numFmtId="1" fontId="0" fillId="0" borderId="0" xfId="0" applyNumberFormat="1" applyFill="1" applyBorder="1" applyAlignment="1">
      <alignment/>
    </xf>
    <xf numFmtId="1" fontId="0" fillId="0" borderId="12" xfId="0" applyNumberFormat="1" applyBorder="1" applyAlignment="1">
      <alignment/>
    </xf>
    <xf numFmtId="0" fontId="1" fillId="0" borderId="0" xfId="0" applyFont="1" applyBorder="1" applyAlignment="1">
      <alignment/>
    </xf>
    <xf numFmtId="2" fontId="1" fillId="0" borderId="10" xfId="0" applyNumberFormat="1"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2" fontId="0" fillId="0" borderId="12" xfId="0" applyNumberFormat="1" applyBorder="1" applyAlignment="1">
      <alignment/>
    </xf>
    <xf numFmtId="2" fontId="1" fillId="0" borderId="12" xfId="0" applyNumberFormat="1" applyFont="1" applyBorder="1" applyAlignment="1">
      <alignment/>
    </xf>
    <xf numFmtId="17" fontId="1" fillId="0" borderId="13" xfId="0" applyNumberFormat="1" applyFont="1" applyBorder="1" applyAlignment="1">
      <alignment/>
    </xf>
    <xf numFmtId="1" fontId="0" fillId="0" borderId="15" xfId="0" applyNumberFormat="1" applyFont="1" applyBorder="1" applyAlignment="1">
      <alignment/>
    </xf>
    <xf numFmtId="1" fontId="0" fillId="0" borderId="15" xfId="0" applyNumberFormat="1" applyBorder="1" applyAlignment="1">
      <alignment/>
    </xf>
    <xf numFmtId="0" fontId="0" fillId="0" borderId="16" xfId="0" applyBorder="1" applyAlignment="1">
      <alignment/>
    </xf>
    <xf numFmtId="0" fontId="0" fillId="0" borderId="14" xfId="0" applyBorder="1" applyAlignment="1">
      <alignment/>
    </xf>
    <xf numFmtId="0" fontId="1" fillId="0" borderId="12" xfId="0" applyFont="1" applyBorder="1" applyAlignment="1">
      <alignment horizontal="center"/>
    </xf>
    <xf numFmtId="2" fontId="1" fillId="0" borderId="11" xfId="0" applyNumberFormat="1" applyFont="1" applyBorder="1" applyAlignment="1">
      <alignment horizontal="center"/>
    </xf>
    <xf numFmtId="0" fontId="0" fillId="0" borderId="0" xfId="0" applyBorder="1" applyAlignment="1">
      <alignment/>
    </xf>
    <xf numFmtId="17" fontId="1" fillId="0" borderId="0" xfId="0" applyNumberFormat="1" applyFont="1" applyBorder="1" applyAlignment="1">
      <alignment horizontal="center"/>
    </xf>
    <xf numFmtId="2" fontId="1" fillId="0" borderId="0" xfId="0" applyNumberFormat="1" applyFont="1" applyBorder="1" applyAlignment="1">
      <alignment/>
    </xf>
    <xf numFmtId="0" fontId="0" fillId="0" borderId="0" xfId="0" applyFont="1" applyBorder="1" applyAlignment="1">
      <alignment/>
    </xf>
    <xf numFmtId="17" fontId="1" fillId="0" borderId="14" xfId="0" applyNumberFormat="1" applyFont="1" applyBorder="1" applyAlignment="1">
      <alignment/>
    </xf>
    <xf numFmtId="0" fontId="1" fillId="0" borderId="13" xfId="0" applyFont="1" applyBorder="1" applyAlignment="1">
      <alignment/>
    </xf>
    <xf numFmtId="17" fontId="1" fillId="0" borderId="14" xfId="0" applyNumberFormat="1" applyFont="1" applyBorder="1" applyAlignment="1">
      <alignment/>
    </xf>
    <xf numFmtId="17" fontId="1" fillId="0" borderId="0" xfId="0" applyNumberFormat="1" applyFont="1" applyBorder="1" applyAlignment="1">
      <alignment/>
    </xf>
    <xf numFmtId="49" fontId="1" fillId="0" borderId="0" xfId="0" applyNumberFormat="1" applyFont="1" applyBorder="1" applyAlignment="1">
      <alignment horizontal="center"/>
    </xf>
    <xf numFmtId="49" fontId="1" fillId="0" borderId="14" xfId="0" applyNumberFormat="1" applyFont="1" applyBorder="1" applyAlignment="1">
      <alignment/>
    </xf>
    <xf numFmtId="49" fontId="1" fillId="0" borderId="12" xfId="0" applyNumberFormat="1" applyFont="1" applyBorder="1" applyAlignment="1">
      <alignment/>
    </xf>
    <xf numFmtId="49" fontId="1" fillId="0" borderId="0" xfId="0" applyNumberFormat="1" applyFont="1" applyBorder="1" applyAlignment="1">
      <alignment/>
    </xf>
    <xf numFmtId="49" fontId="0" fillId="0" borderId="0" xfId="0" applyNumberFormat="1" applyBorder="1" applyAlignment="1">
      <alignment/>
    </xf>
    <xf numFmtId="49" fontId="0" fillId="0" borderId="0" xfId="0" applyNumberFormat="1" applyFont="1" applyBorder="1" applyAlignment="1">
      <alignment/>
    </xf>
    <xf numFmtId="0" fontId="1" fillId="0" borderId="0" xfId="0" applyFont="1" applyBorder="1" applyAlignment="1">
      <alignment horizontal="right"/>
    </xf>
    <xf numFmtId="2" fontId="0" fillId="0" borderId="10" xfId="57" applyNumberFormat="1" applyFont="1" applyBorder="1" applyAlignment="1">
      <alignment horizontal="right"/>
    </xf>
    <xf numFmtId="2" fontId="0" fillId="0" borderId="10" xfId="0" applyNumberFormat="1" applyBorder="1" applyAlignment="1">
      <alignment horizontal="right"/>
    </xf>
    <xf numFmtId="2" fontId="0" fillId="0" borderId="10" xfId="0" applyNumberFormat="1" applyFont="1" applyBorder="1" applyAlignment="1">
      <alignment horizontal="right"/>
    </xf>
    <xf numFmtId="2" fontId="0" fillId="0" borderId="0" xfId="0" applyNumberFormat="1" applyFill="1" applyBorder="1" applyAlignment="1">
      <alignment/>
    </xf>
    <xf numFmtId="0" fontId="0" fillId="0" borderId="10" xfId="0" applyFill="1" applyBorder="1" applyAlignment="1">
      <alignment/>
    </xf>
    <xf numFmtId="2" fontId="0" fillId="0" borderId="0" xfId="0" applyNumberFormat="1" applyBorder="1" applyAlignment="1">
      <alignment/>
    </xf>
    <xf numFmtId="0" fontId="0" fillId="0" borderId="17" xfId="0" applyBorder="1" applyAlignment="1">
      <alignment/>
    </xf>
    <xf numFmtId="49" fontId="0" fillId="0" borderId="18" xfId="0" applyNumberFormat="1" applyBorder="1" applyAlignment="1">
      <alignment/>
    </xf>
    <xf numFmtId="0" fontId="0" fillId="0" borderId="18" xfId="0" applyBorder="1" applyAlignment="1">
      <alignment/>
    </xf>
    <xf numFmtId="2" fontId="0" fillId="0" borderId="17" xfId="0" applyNumberFormat="1" applyBorder="1" applyAlignment="1">
      <alignment/>
    </xf>
    <xf numFmtId="2" fontId="0" fillId="0" borderId="17" xfId="0" applyNumberFormat="1" applyBorder="1" applyAlignment="1">
      <alignment horizontal="right"/>
    </xf>
    <xf numFmtId="1" fontId="0" fillId="0" borderId="18" xfId="0" applyNumberFormat="1" applyBorder="1" applyAlignment="1">
      <alignment/>
    </xf>
    <xf numFmtId="2" fontId="0" fillId="0" borderId="16" xfId="0" applyNumberFormat="1" applyBorder="1" applyAlignment="1">
      <alignment/>
    </xf>
    <xf numFmtId="17" fontId="0" fillId="0" borderId="0" xfId="0" applyNumberFormat="1" applyAlignment="1">
      <alignment/>
    </xf>
    <xf numFmtId="1" fontId="0" fillId="0" borderId="17" xfId="0" applyNumberFormat="1" applyBorder="1" applyAlignment="1">
      <alignment/>
    </xf>
    <xf numFmtId="0" fontId="1" fillId="0" borderId="16" xfId="0" applyFont="1" applyBorder="1" applyAlignment="1">
      <alignment/>
    </xf>
    <xf numFmtId="0" fontId="0" fillId="0" borderId="19" xfId="0" applyBorder="1" applyAlignment="1">
      <alignment/>
    </xf>
    <xf numFmtId="0" fontId="0" fillId="0" borderId="19" xfId="0" applyFill="1" applyBorder="1" applyAlignment="1">
      <alignment/>
    </xf>
    <xf numFmtId="169" fontId="0" fillId="0" borderId="17" xfId="0" applyNumberFormat="1" applyBorder="1" applyAlignment="1">
      <alignment/>
    </xf>
    <xf numFmtId="2" fontId="0" fillId="0" borderId="18" xfId="0" applyNumberFormat="1" applyBorder="1" applyAlignment="1">
      <alignment/>
    </xf>
    <xf numFmtId="0" fontId="0" fillId="0" borderId="0" xfId="0" applyNumberFormat="1" applyFill="1" applyBorder="1" applyAlignment="1">
      <alignment/>
    </xf>
    <xf numFmtId="2" fontId="0" fillId="0" borderId="0" xfId="0" applyNumberFormat="1" applyBorder="1" applyAlignment="1">
      <alignment horizontal="right"/>
    </xf>
    <xf numFmtId="0" fontId="0" fillId="0" borderId="0" xfId="0" applyNumberFormat="1" applyBorder="1" applyAlignment="1">
      <alignment/>
    </xf>
    <xf numFmtId="169" fontId="0" fillId="0" borderId="0" xfId="0" applyNumberFormat="1" applyAlignment="1">
      <alignment/>
    </xf>
    <xf numFmtId="0" fontId="43" fillId="0" borderId="0" xfId="0" applyFont="1" applyAlignment="1">
      <alignment/>
    </xf>
    <xf numFmtId="0" fontId="43" fillId="0" borderId="0" xfId="0" applyFont="1" applyFill="1" applyBorder="1" applyAlignment="1">
      <alignment/>
    </xf>
    <xf numFmtId="0" fontId="43" fillId="0" borderId="10" xfId="0" applyFont="1" applyBorder="1" applyAlignment="1">
      <alignment/>
    </xf>
    <xf numFmtId="0" fontId="43" fillId="0" borderId="0" xfId="0" applyNumberFormat="1" applyFont="1" applyFill="1" applyBorder="1" applyAlignment="1">
      <alignment/>
    </xf>
    <xf numFmtId="0" fontId="43" fillId="0" borderId="0" xfId="0" applyFont="1" applyBorder="1" applyAlignment="1">
      <alignment/>
    </xf>
    <xf numFmtId="0" fontId="0" fillId="0" borderId="0" xfId="0" applyFont="1" applyAlignment="1">
      <alignment/>
    </xf>
    <xf numFmtId="171" fontId="0" fillId="0" borderId="0" xfId="0" applyNumberFormat="1" applyFont="1" applyFill="1" applyBorder="1" applyAlignment="1">
      <alignment/>
    </xf>
    <xf numFmtId="172" fontId="0" fillId="0" borderId="0" xfId="0" applyNumberFormat="1" applyFont="1" applyFill="1" applyBorder="1" applyAlignment="1">
      <alignment/>
    </xf>
    <xf numFmtId="169" fontId="0" fillId="0" borderId="18" xfId="0" applyNumberFormat="1" applyBorder="1" applyAlignment="1">
      <alignment/>
    </xf>
    <xf numFmtId="0" fontId="0" fillId="0" borderId="0" xfId="0" applyFont="1" applyFill="1" applyAlignment="1">
      <alignment/>
    </xf>
    <xf numFmtId="0" fontId="0" fillId="0" borderId="10" xfId="0" applyFont="1" applyFill="1" applyBorder="1" applyAlignment="1">
      <alignment/>
    </xf>
    <xf numFmtId="1" fontId="0" fillId="0" borderId="0" xfId="0" applyNumberFormat="1" applyFont="1" applyFill="1" applyBorder="1" applyAlignment="1">
      <alignment/>
    </xf>
    <xf numFmtId="0" fontId="0" fillId="0" borderId="0" xfId="0" applyNumberFormat="1" applyFont="1" applyFill="1" applyBorder="1" applyAlignment="1">
      <alignment/>
    </xf>
    <xf numFmtId="2" fontId="0" fillId="0" borderId="11" xfId="0" applyNumberFormat="1" applyBorder="1" applyAlignment="1">
      <alignment horizontal="right"/>
    </xf>
    <xf numFmtId="0" fontId="0" fillId="0" borderId="11" xfId="0" applyFont="1" applyBorder="1" applyAlignment="1">
      <alignment/>
    </xf>
    <xf numFmtId="4" fontId="0" fillId="0" borderId="18" xfId="0" applyNumberFormat="1" applyBorder="1" applyAlignment="1">
      <alignment/>
    </xf>
    <xf numFmtId="37" fontId="0" fillId="0" borderId="0" xfId="0" applyNumberFormat="1" applyFont="1" applyFill="1" applyBorder="1" applyAlignment="1">
      <alignment/>
    </xf>
    <xf numFmtId="0" fontId="0" fillId="0" borderId="0" xfId="0" applyNumberFormat="1" applyFont="1" applyFill="1" applyBorder="1" applyAlignment="1">
      <alignment/>
    </xf>
    <xf numFmtId="43" fontId="1" fillId="0" borderId="18" xfId="42" applyFont="1" applyBorder="1" applyAlignment="1">
      <alignment/>
    </xf>
    <xf numFmtId="43" fontId="1" fillId="0" borderId="17" xfId="42" applyFont="1" applyBorder="1" applyAlignment="1">
      <alignment/>
    </xf>
    <xf numFmtId="44" fontId="1" fillId="0" borderId="18" xfId="44" applyFont="1" applyBorder="1" applyAlignment="1">
      <alignment/>
    </xf>
    <xf numFmtId="2" fontId="1" fillId="0" borderId="16" xfId="0" applyNumberFormat="1" applyFont="1" applyBorder="1" applyAlignment="1">
      <alignment/>
    </xf>
    <xf numFmtId="0" fontId="1" fillId="0" borderId="12" xfId="0" applyFont="1" applyBorder="1" applyAlignment="1">
      <alignment horizontal="right"/>
    </xf>
    <xf numFmtId="2" fontId="1" fillId="0" borderId="11" xfId="0" applyNumberFormat="1" applyFont="1" applyBorder="1" applyAlignment="1">
      <alignment horizontal="right"/>
    </xf>
    <xf numFmtId="0" fontId="1" fillId="0" borderId="11" xfId="0" applyFont="1" applyBorder="1" applyAlignment="1">
      <alignment horizontal="right"/>
    </xf>
    <xf numFmtId="2" fontId="43" fillId="0" borderId="10" xfId="0" applyNumberFormat="1" applyFont="1" applyBorder="1" applyAlignment="1">
      <alignment/>
    </xf>
    <xf numFmtId="175" fontId="0" fillId="0" borderId="0" xfId="0" applyNumberFormat="1" applyFont="1" applyFill="1" applyBorder="1" applyAlignment="1">
      <alignment/>
    </xf>
    <xf numFmtId="0" fontId="43" fillId="0" borderId="10" xfId="0" applyFont="1" applyFill="1" applyBorder="1" applyAlignment="1">
      <alignment/>
    </xf>
    <xf numFmtId="0" fontId="43" fillId="0" borderId="11" xfId="0" applyFont="1" applyBorder="1" applyAlignment="1">
      <alignment/>
    </xf>
    <xf numFmtId="0" fontId="43" fillId="0" borderId="19" xfId="0" applyFont="1" applyBorder="1" applyAlignment="1">
      <alignment/>
    </xf>
    <xf numFmtId="0" fontId="43" fillId="0" borderId="19" xfId="0" applyFont="1" applyFill="1" applyBorder="1" applyAlignment="1">
      <alignment/>
    </xf>
    <xf numFmtId="176" fontId="0" fillId="0" borderId="19" xfId="0" applyNumberFormat="1" applyFill="1" applyBorder="1" applyAlignment="1">
      <alignment/>
    </xf>
    <xf numFmtId="2" fontId="0" fillId="0" borderId="10" xfId="0" applyNumberFormat="1" applyFill="1" applyBorder="1" applyAlignment="1">
      <alignment/>
    </xf>
    <xf numFmtId="2" fontId="43" fillId="0" borderId="10" xfId="0" applyNumberFormat="1" applyFont="1" applyFill="1" applyBorder="1" applyAlignment="1">
      <alignment/>
    </xf>
    <xf numFmtId="0" fontId="0" fillId="0" borderId="0" xfId="0" applyFont="1" applyBorder="1" applyAlignment="1">
      <alignment vertical="top" wrapText="1"/>
    </xf>
    <xf numFmtId="0" fontId="0" fillId="0" borderId="10" xfId="0" applyFont="1" applyBorder="1" applyAlignment="1">
      <alignment vertical="top" wrapText="1"/>
    </xf>
    <xf numFmtId="0" fontId="44" fillId="0" borderId="0" xfId="0" applyFont="1" applyAlignment="1">
      <alignment/>
    </xf>
    <xf numFmtId="0" fontId="45" fillId="0" borderId="10" xfId="0" applyFont="1" applyBorder="1" applyAlignment="1">
      <alignment horizontal="right"/>
    </xf>
    <xf numFmtId="0" fontId="44" fillId="0" borderId="10" xfId="0" applyFont="1" applyBorder="1" applyAlignment="1">
      <alignment/>
    </xf>
    <xf numFmtId="43" fontId="44" fillId="0" borderId="10" xfId="0" applyNumberFormat="1" applyFont="1" applyBorder="1" applyAlignment="1">
      <alignment/>
    </xf>
    <xf numFmtId="43" fontId="44" fillId="0" borderId="11" xfId="0" applyNumberFormat="1" applyFont="1" applyBorder="1" applyAlignment="1">
      <alignment/>
    </xf>
    <xf numFmtId="43" fontId="44" fillId="0" borderId="0" xfId="0" applyNumberFormat="1" applyFont="1" applyAlignment="1">
      <alignment/>
    </xf>
    <xf numFmtId="43" fontId="0" fillId="0" borderId="10" xfId="42" applyFont="1" applyBorder="1" applyAlignment="1">
      <alignment/>
    </xf>
    <xf numFmtId="43" fontId="0" fillId="0" borderId="10" xfId="42" applyFont="1" applyFill="1" applyBorder="1" applyAlignment="1">
      <alignment/>
    </xf>
    <xf numFmtId="0" fontId="1" fillId="5" borderId="12" xfId="0" applyFont="1" applyFill="1" applyBorder="1" applyAlignment="1">
      <alignment horizontal="right"/>
    </xf>
    <xf numFmtId="2" fontId="1" fillId="5" borderId="11" xfId="0" applyNumberFormat="1" applyFont="1" applyFill="1" applyBorder="1" applyAlignment="1">
      <alignment horizontal="right"/>
    </xf>
    <xf numFmtId="2" fontId="1" fillId="5" borderId="12" xfId="0" applyNumberFormat="1" applyFont="1" applyFill="1" applyBorder="1" applyAlignment="1">
      <alignment horizontal="right"/>
    </xf>
    <xf numFmtId="0" fontId="1" fillId="5" borderId="0" xfId="0" applyFont="1" applyFill="1" applyBorder="1" applyAlignment="1">
      <alignment/>
    </xf>
    <xf numFmtId="2" fontId="1" fillId="5" borderId="10" xfId="0" applyNumberFormat="1" applyFont="1" applyFill="1" applyBorder="1" applyAlignment="1">
      <alignment/>
    </xf>
    <xf numFmtId="0" fontId="0" fillId="5" borderId="10" xfId="0" applyFill="1" applyBorder="1" applyAlignment="1">
      <alignment/>
    </xf>
    <xf numFmtId="43" fontId="1" fillId="5" borderId="18" xfId="42" applyFont="1" applyFill="1" applyBorder="1" applyAlignment="1">
      <alignment/>
    </xf>
    <xf numFmtId="0" fontId="44" fillId="5" borderId="0" xfId="0" applyFont="1" applyFill="1" applyAlignment="1">
      <alignment/>
    </xf>
    <xf numFmtId="0" fontId="44" fillId="5" borderId="10" xfId="0" applyFont="1" applyFill="1" applyBorder="1" applyAlignment="1">
      <alignment/>
    </xf>
    <xf numFmtId="0" fontId="0" fillId="5" borderId="0" xfId="0" applyFill="1" applyAlignment="1">
      <alignment/>
    </xf>
    <xf numFmtId="177" fontId="0" fillId="5" borderId="0" xfId="42" applyNumberFormat="1" applyFont="1" applyFill="1" applyBorder="1" applyAlignment="1">
      <alignment/>
    </xf>
    <xf numFmtId="180" fontId="0" fillId="5" borderId="0" xfId="42" applyNumberFormat="1" applyFont="1" applyFill="1" applyBorder="1" applyAlignment="1">
      <alignment/>
    </xf>
    <xf numFmtId="43" fontId="0" fillId="5" borderId="10" xfId="42" applyFont="1" applyFill="1" applyBorder="1" applyAlignment="1">
      <alignment/>
    </xf>
    <xf numFmtId="180" fontId="43" fillId="5" borderId="0" xfId="42" applyNumberFormat="1" applyFont="1" applyFill="1" applyBorder="1" applyAlignment="1">
      <alignment/>
    </xf>
    <xf numFmtId="43" fontId="43" fillId="5" borderId="10" xfId="42" applyFont="1" applyFill="1" applyBorder="1" applyAlignment="1">
      <alignment/>
    </xf>
    <xf numFmtId="43" fontId="1" fillId="0" borderId="11" xfId="42" applyFont="1" applyBorder="1" applyAlignment="1">
      <alignment horizontal="right"/>
    </xf>
    <xf numFmtId="43" fontId="1" fillId="0" borderId="10" xfId="42" applyFont="1" applyBorder="1" applyAlignment="1">
      <alignment/>
    </xf>
    <xf numFmtId="180" fontId="1" fillId="0" borderId="12" xfId="42" applyNumberFormat="1" applyFont="1" applyBorder="1" applyAlignment="1">
      <alignment horizontal="right"/>
    </xf>
    <xf numFmtId="180" fontId="1" fillId="0" borderId="0" xfId="42" applyNumberFormat="1" applyFont="1" applyBorder="1" applyAlignment="1">
      <alignment/>
    </xf>
    <xf numFmtId="180" fontId="0" fillId="0" borderId="0" xfId="42" applyNumberFormat="1" applyFont="1" applyFill="1" applyBorder="1" applyAlignment="1">
      <alignment/>
    </xf>
    <xf numFmtId="180" fontId="1" fillId="0" borderId="18" xfId="42" applyNumberFormat="1" applyFont="1" applyBorder="1" applyAlignment="1">
      <alignment/>
    </xf>
    <xf numFmtId="180" fontId="0" fillId="0" borderId="0" xfId="42" applyNumberFormat="1" applyFont="1" applyAlignment="1">
      <alignment/>
    </xf>
    <xf numFmtId="177" fontId="43" fillId="5" borderId="0" xfId="42" applyNumberFormat="1" applyFont="1" applyFill="1" applyBorder="1" applyAlignment="1">
      <alignment/>
    </xf>
    <xf numFmtId="43" fontId="0" fillId="0" borderId="10" xfId="42" applyFont="1" applyFill="1" applyBorder="1" applyAlignment="1">
      <alignment/>
    </xf>
    <xf numFmtId="43" fontId="43" fillId="0" borderId="10" xfId="42" applyFont="1" applyFill="1" applyBorder="1" applyAlignment="1">
      <alignment/>
    </xf>
    <xf numFmtId="43" fontId="43" fillId="0" borderId="10" xfId="42" applyFont="1" applyBorder="1" applyAlignment="1">
      <alignment/>
    </xf>
    <xf numFmtId="43" fontId="0" fillId="0" borderId="0" xfId="42" applyFont="1" applyFill="1" applyAlignment="1">
      <alignment/>
    </xf>
    <xf numFmtId="43" fontId="0" fillId="0" borderId="10" xfId="42" applyFont="1" applyFill="1" applyBorder="1" applyAlignment="1">
      <alignment horizontal="right"/>
    </xf>
    <xf numFmtId="43" fontId="0" fillId="0" borderId="10" xfId="42" applyFont="1" applyFill="1" applyBorder="1" applyAlignment="1">
      <alignment/>
    </xf>
    <xf numFmtId="43" fontId="0" fillId="0" borderId="10" xfId="42" applyFont="1" applyFill="1" applyBorder="1" applyAlignment="1">
      <alignment horizontal="right"/>
    </xf>
    <xf numFmtId="43" fontId="0" fillId="0" borderId="11" xfId="42" applyFont="1" applyFill="1" applyBorder="1" applyAlignment="1">
      <alignment/>
    </xf>
    <xf numFmtId="43" fontId="0" fillId="0" borderId="11" xfId="42" applyFont="1" applyFill="1" applyBorder="1" applyAlignment="1">
      <alignment horizontal="right"/>
    </xf>
    <xf numFmtId="43" fontId="0" fillId="0" borderId="11" xfId="42" applyFont="1" applyFill="1" applyBorder="1" applyAlignment="1">
      <alignment/>
    </xf>
    <xf numFmtId="0" fontId="1" fillId="0" borderId="14" xfId="0" applyFont="1" applyFill="1" applyBorder="1" applyAlignment="1">
      <alignment/>
    </xf>
    <xf numFmtId="0" fontId="1" fillId="0" borderId="12" xfId="0" applyFont="1" applyFill="1" applyBorder="1" applyAlignment="1">
      <alignment horizontal="right"/>
    </xf>
    <xf numFmtId="2" fontId="1" fillId="0" borderId="11" xfId="0" applyNumberFormat="1" applyFont="1" applyFill="1" applyBorder="1" applyAlignment="1">
      <alignment horizontal="right"/>
    </xf>
    <xf numFmtId="0" fontId="1" fillId="0" borderId="11" xfId="0" applyFont="1" applyFill="1" applyBorder="1" applyAlignment="1">
      <alignment horizontal="right"/>
    </xf>
    <xf numFmtId="180" fontId="1" fillId="0" borderId="12" xfId="42" applyNumberFormat="1" applyFont="1" applyFill="1" applyBorder="1" applyAlignment="1">
      <alignment horizontal="right"/>
    </xf>
    <xf numFmtId="43" fontId="1" fillId="0" borderId="11" xfId="42" applyFont="1" applyFill="1" applyBorder="1" applyAlignment="1">
      <alignment horizontal="right"/>
    </xf>
    <xf numFmtId="0" fontId="1" fillId="0" borderId="12" xfId="0" applyFont="1" applyFill="1" applyBorder="1" applyAlignment="1">
      <alignment/>
    </xf>
    <xf numFmtId="0" fontId="1" fillId="0" borderId="0" xfId="0" applyFont="1" applyFill="1" applyBorder="1" applyAlignment="1">
      <alignment/>
    </xf>
    <xf numFmtId="2" fontId="1" fillId="0" borderId="10" xfId="0" applyNumberFormat="1" applyFont="1" applyFill="1" applyBorder="1" applyAlignment="1">
      <alignment/>
    </xf>
    <xf numFmtId="0" fontId="1" fillId="0" borderId="0" xfId="0" applyFont="1" applyFill="1" applyBorder="1" applyAlignment="1">
      <alignment horizontal="right"/>
    </xf>
    <xf numFmtId="180" fontId="1" fillId="0" borderId="0" xfId="42" applyNumberFormat="1" applyFont="1" applyFill="1" applyBorder="1" applyAlignment="1">
      <alignment/>
    </xf>
    <xf numFmtId="43" fontId="1" fillId="0" borderId="10" xfId="42" applyFont="1" applyFill="1" applyBorder="1" applyAlignment="1">
      <alignment/>
    </xf>
    <xf numFmtId="180" fontId="1" fillId="0" borderId="12" xfId="0" applyNumberFormat="1" applyFont="1" applyFill="1" applyBorder="1" applyAlignment="1">
      <alignment horizontal="right"/>
    </xf>
    <xf numFmtId="180" fontId="1" fillId="0" borderId="0" xfId="0" applyNumberFormat="1" applyFont="1" applyFill="1" applyBorder="1" applyAlignment="1">
      <alignment/>
    </xf>
    <xf numFmtId="180" fontId="0" fillId="0" borderId="0" xfId="42" applyNumberFormat="1" applyFont="1" applyFill="1" applyAlignment="1">
      <alignment/>
    </xf>
    <xf numFmtId="180" fontId="0" fillId="0" borderId="0" xfId="0" applyNumberFormat="1" applyAlignment="1">
      <alignment/>
    </xf>
    <xf numFmtId="180" fontId="0" fillId="0" borderId="0" xfId="0" applyNumberFormat="1" applyFont="1" applyBorder="1" applyAlignment="1">
      <alignment vertical="top" wrapText="1"/>
    </xf>
    <xf numFmtId="180" fontId="1" fillId="0" borderId="16" xfId="0" applyNumberFormat="1" applyFont="1" applyFill="1" applyBorder="1" applyAlignment="1">
      <alignment/>
    </xf>
    <xf numFmtId="180" fontId="0" fillId="0" borderId="0" xfId="42" applyNumberFormat="1" applyFont="1" applyFill="1" applyAlignment="1">
      <alignment/>
    </xf>
    <xf numFmtId="180" fontId="0" fillId="0" borderId="0" xfId="42" applyNumberFormat="1" applyFont="1" applyFill="1" applyBorder="1" applyAlignment="1">
      <alignment/>
    </xf>
    <xf numFmtId="180" fontId="43" fillId="0" borderId="0" xfId="42" applyNumberFormat="1" applyFont="1" applyFill="1" applyBorder="1" applyAlignment="1">
      <alignment/>
    </xf>
    <xf numFmtId="180" fontId="0" fillId="0" borderId="19" xfId="42" applyNumberFormat="1" applyFont="1" applyFill="1" applyBorder="1" applyAlignment="1">
      <alignment/>
    </xf>
    <xf numFmtId="180" fontId="44" fillId="0" borderId="0" xfId="0" applyNumberFormat="1" applyFont="1" applyAlignment="1">
      <alignment/>
    </xf>
    <xf numFmtId="180" fontId="0" fillId="0" borderId="0" xfId="42" applyNumberFormat="1" applyFont="1" applyFill="1" applyBorder="1" applyAlignment="1">
      <alignment/>
    </xf>
    <xf numFmtId="180" fontId="1" fillId="5" borderId="18" xfId="42" applyNumberFormat="1" applyFont="1" applyFill="1" applyBorder="1" applyAlignment="1">
      <alignment/>
    </xf>
    <xf numFmtId="180" fontId="0" fillId="5" borderId="0" xfId="0" applyNumberFormat="1" applyFill="1" applyAlignment="1">
      <alignment/>
    </xf>
    <xf numFmtId="180" fontId="44" fillId="5" borderId="0" xfId="0" applyNumberFormat="1" applyFont="1" applyFill="1" applyAlignment="1">
      <alignment/>
    </xf>
    <xf numFmtId="180" fontId="45" fillId="0" borderId="10" xfId="0" applyNumberFormat="1" applyFont="1" applyBorder="1" applyAlignment="1">
      <alignment horizontal="right"/>
    </xf>
    <xf numFmtId="180" fontId="44" fillId="0" borderId="10" xfId="0" applyNumberFormat="1" applyFont="1" applyBorder="1" applyAlignment="1">
      <alignment/>
    </xf>
    <xf numFmtId="180" fontId="44" fillId="0" borderId="11" xfId="0" applyNumberFormat="1" applyFont="1" applyBorder="1" applyAlignment="1">
      <alignment/>
    </xf>
    <xf numFmtId="178" fontId="0" fillId="0" borderId="0" xfId="42" applyNumberFormat="1" applyFont="1" applyFill="1" applyBorder="1" applyAlignment="1">
      <alignment/>
    </xf>
    <xf numFmtId="180" fontId="43" fillId="0" borderId="0" xfId="42" applyNumberFormat="1" applyFont="1" applyFill="1" applyAlignment="1">
      <alignment/>
    </xf>
    <xf numFmtId="43" fontId="0" fillId="0" borderId="0" xfId="0" applyNumberFormat="1" applyAlignment="1">
      <alignment/>
    </xf>
    <xf numFmtId="43" fontId="43" fillId="0" borderId="10" xfId="42" applyFont="1" applyFill="1" applyBorder="1" applyAlignment="1">
      <alignment horizontal="right"/>
    </xf>
    <xf numFmtId="178" fontId="43" fillId="0" borderId="0" xfId="42" applyNumberFormat="1" applyFont="1" applyFill="1" applyBorder="1" applyAlignment="1">
      <alignment/>
    </xf>
    <xf numFmtId="43" fontId="0" fillId="0" borderId="0" xfId="42" applyNumberFormat="1" applyFont="1" applyFill="1" applyBorder="1" applyAlignment="1">
      <alignment/>
    </xf>
    <xf numFmtId="43" fontId="0" fillId="0" borderId="10" xfId="42" applyNumberFormat="1" applyFont="1" applyFill="1" applyBorder="1" applyAlignment="1">
      <alignment/>
    </xf>
    <xf numFmtId="49" fontId="0" fillId="0" borderId="20" xfId="0" applyNumberFormat="1" applyFont="1" applyBorder="1" applyAlignment="1">
      <alignment/>
    </xf>
    <xf numFmtId="0" fontId="46" fillId="0" borderId="0" xfId="0" applyFont="1" applyBorder="1" applyAlignment="1">
      <alignment/>
    </xf>
    <xf numFmtId="14" fontId="46" fillId="0" borderId="0" xfId="0" applyNumberFormat="1" applyFont="1" applyBorder="1" applyAlignment="1">
      <alignment/>
    </xf>
    <xf numFmtId="180" fontId="46" fillId="0" borderId="0" xfId="42" applyNumberFormat="1" applyFont="1" applyBorder="1" applyAlignment="1">
      <alignment/>
    </xf>
    <xf numFmtId="43" fontId="46" fillId="0" borderId="0" xfId="42" applyFont="1" applyBorder="1" applyAlignment="1">
      <alignment/>
    </xf>
    <xf numFmtId="44" fontId="46" fillId="0" borderId="21" xfId="44" applyFont="1" applyBorder="1" applyAlignment="1">
      <alignment/>
    </xf>
    <xf numFmtId="0" fontId="46" fillId="0" borderId="20" xfId="0" applyFont="1" applyBorder="1" applyAlignment="1">
      <alignment/>
    </xf>
    <xf numFmtId="0" fontId="46" fillId="0" borderId="0" xfId="0" applyFont="1" applyBorder="1" applyAlignment="1">
      <alignment horizontal="left" indent="1"/>
    </xf>
    <xf numFmtId="14" fontId="46" fillId="33" borderId="0" xfId="0" applyNumberFormat="1" applyFont="1" applyFill="1" applyBorder="1" applyAlignment="1">
      <alignment/>
    </xf>
    <xf numFmtId="180" fontId="46" fillId="33" borderId="0" xfId="42" applyNumberFormat="1" applyFont="1" applyFill="1" applyBorder="1" applyAlignment="1">
      <alignment/>
    </xf>
    <xf numFmtId="43" fontId="46" fillId="33" borderId="0" xfId="42" applyFont="1" applyFill="1" applyBorder="1" applyAlignment="1">
      <alignment/>
    </xf>
    <xf numFmtId="44" fontId="46" fillId="0" borderId="21" xfId="44" applyFont="1" applyFill="1" applyBorder="1" applyAlignment="1">
      <alignment/>
    </xf>
    <xf numFmtId="14" fontId="46" fillId="0" borderId="0" xfId="0" applyNumberFormat="1" applyFont="1" applyFill="1" applyBorder="1" applyAlignment="1">
      <alignment/>
    </xf>
    <xf numFmtId="180" fontId="46" fillId="0" borderId="0" xfId="42" applyNumberFormat="1" applyFont="1" applyFill="1" applyBorder="1" applyAlignment="1">
      <alignment/>
    </xf>
    <xf numFmtId="43" fontId="46" fillId="0" borderId="0" xfId="42" applyFont="1" applyFill="1" applyBorder="1" applyAlignment="1">
      <alignment/>
    </xf>
    <xf numFmtId="43" fontId="46" fillId="0" borderId="0" xfId="42" applyFont="1" applyFill="1" applyBorder="1" applyAlignment="1">
      <alignment vertical="center"/>
    </xf>
    <xf numFmtId="0" fontId="46" fillId="0" borderId="0" xfId="0" applyFont="1" applyFill="1" applyBorder="1" applyAlignment="1">
      <alignment/>
    </xf>
    <xf numFmtId="49" fontId="0" fillId="0" borderId="20" xfId="0" applyNumberFormat="1" applyBorder="1" applyAlignment="1">
      <alignment/>
    </xf>
    <xf numFmtId="178" fontId="46" fillId="0" borderId="0" xfId="42" applyNumberFormat="1" applyFont="1" applyFill="1" applyBorder="1" applyAlignment="1">
      <alignment/>
    </xf>
    <xf numFmtId="14" fontId="43" fillId="33" borderId="0" xfId="0" applyNumberFormat="1" applyFont="1" applyFill="1" applyBorder="1" applyAlignment="1">
      <alignment/>
    </xf>
    <xf numFmtId="180" fontId="43" fillId="33" borderId="0" xfId="42" applyNumberFormat="1" applyFont="1" applyFill="1" applyBorder="1" applyAlignment="1">
      <alignment/>
    </xf>
    <xf numFmtId="43" fontId="43" fillId="33" borderId="0" xfId="42" applyFont="1" applyFill="1" applyBorder="1" applyAlignment="1">
      <alignment/>
    </xf>
    <xf numFmtId="177" fontId="0" fillId="0" borderId="0" xfId="42" applyNumberFormat="1" applyFont="1" applyFill="1" applyBorder="1" applyAlignment="1">
      <alignment/>
    </xf>
    <xf numFmtId="180" fontId="0" fillId="0" borderId="19" xfId="42" applyNumberFormat="1" applyFont="1" applyFill="1" applyBorder="1" applyAlignment="1">
      <alignment/>
    </xf>
    <xf numFmtId="178" fontId="0" fillId="0" borderId="19" xfId="42" applyNumberFormat="1" applyFont="1" applyFill="1" applyBorder="1" applyAlignment="1">
      <alignment/>
    </xf>
    <xf numFmtId="178" fontId="0" fillId="0" borderId="0" xfId="42" applyNumberFormat="1" applyFont="1" applyFill="1" applyBorder="1" applyAlignment="1">
      <alignment/>
    </xf>
    <xf numFmtId="0" fontId="1" fillId="0" borderId="16" xfId="0" applyFont="1" applyBorder="1" applyAlignment="1">
      <alignment horizontal="center"/>
    </xf>
    <xf numFmtId="0" fontId="1" fillId="0" borderId="13" xfId="0" applyFont="1" applyBorder="1" applyAlignment="1">
      <alignment horizontal="center"/>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0" fontId="1" fillId="0" borderId="14" xfId="0" applyFont="1" applyBorder="1" applyAlignment="1">
      <alignment horizontal="center"/>
    </xf>
    <xf numFmtId="17" fontId="1" fillId="0" borderId="16" xfId="0" applyNumberFormat="1" applyFont="1" applyBorder="1" applyAlignment="1">
      <alignment horizontal="center"/>
    </xf>
    <xf numFmtId="17" fontId="1" fillId="0" borderId="13" xfId="0" applyNumberFormat="1" applyFont="1" applyBorder="1" applyAlignment="1">
      <alignment horizontal="center"/>
    </xf>
    <xf numFmtId="49" fontId="1" fillId="0" borderId="13" xfId="0" applyNumberFormat="1" applyFont="1" applyBorder="1" applyAlignment="1">
      <alignment horizontal="center"/>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49" fontId="1" fillId="5" borderId="16" xfId="0" applyNumberFormat="1" applyFont="1" applyFill="1" applyBorder="1" applyAlignment="1">
      <alignment horizontal="center"/>
    </xf>
    <xf numFmtId="49" fontId="1" fillId="5" borderId="1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0" fontId="1" fillId="0" borderId="13" xfId="0" applyFont="1" applyFill="1" applyBorder="1" applyAlignment="1">
      <alignment horizontal="center"/>
    </xf>
    <xf numFmtId="0" fontId="1" fillId="0"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hipju\AppData\Local\Temp\Monthly%20Billing%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 2013"/>
      <sheetName val="March-April 2013"/>
      <sheetName val="April 2013 (remainder)"/>
      <sheetName val="May 2013"/>
      <sheetName val="June &amp; July 2013"/>
      <sheetName val="June 2013"/>
      <sheetName val="July 2013"/>
      <sheetName val="June, July &amp; August 2013"/>
      <sheetName val="August 2013"/>
      <sheetName val="July 2013 (billed in Aug.)"/>
      <sheetName val="June 2013 (billed in Aug.)"/>
    </sheetNames>
    <sheetDataSet>
      <sheetData sheetId="3">
        <row r="8">
          <cell r="A8" t="str">
            <v>10400512747470001</v>
          </cell>
          <cell r="C8" t="str">
            <v>STADIUM DR U PUMP</v>
          </cell>
          <cell r="D8">
            <v>41375</v>
          </cell>
          <cell r="E8">
            <v>41406</v>
          </cell>
          <cell r="F8">
            <v>34</v>
          </cell>
          <cell r="G8">
            <v>2.06</v>
          </cell>
          <cell r="H8">
            <v>17.03</v>
          </cell>
          <cell r="I8">
            <v>0.02</v>
          </cell>
          <cell r="J8">
            <v>19.11</v>
          </cell>
        </row>
        <row r="9">
          <cell r="C9" t="str">
            <v>901B Stadium, Glen Rose</v>
          </cell>
        </row>
        <row r="10">
          <cell r="A10" t="str">
            <v>10400512747470002</v>
          </cell>
          <cell r="C10" t="str">
            <v>STADIUM DR 1000W Flood</v>
          </cell>
          <cell r="D10">
            <v>41375</v>
          </cell>
          <cell r="E10">
            <v>41406</v>
          </cell>
          <cell r="F10">
            <v>748</v>
          </cell>
          <cell r="G10">
            <v>45.77</v>
          </cell>
          <cell r="H10">
            <v>54.03</v>
          </cell>
          <cell r="I10">
            <v>0.18</v>
          </cell>
          <cell r="J10">
            <v>99.98000000000002</v>
          </cell>
        </row>
        <row r="11">
          <cell r="C11" t="str">
            <v>901B Stadium, Glen Rose</v>
          </cell>
        </row>
        <row r="12">
          <cell r="A12" t="str">
            <v>10400512747470003</v>
          </cell>
          <cell r="C12" t="str">
            <v>Stadium Dr 100W Seclt</v>
          </cell>
          <cell r="D12">
            <v>41375</v>
          </cell>
          <cell r="E12">
            <v>41406</v>
          </cell>
          <cell r="F12">
            <v>50</v>
          </cell>
          <cell r="G12">
            <v>3.07</v>
          </cell>
          <cell r="H12">
            <v>8.45</v>
          </cell>
          <cell r="J12">
            <v>11.52</v>
          </cell>
        </row>
        <row r="13">
          <cell r="C13" t="str">
            <v>901B Stadium, Glen Rose</v>
          </cell>
        </row>
        <row r="14">
          <cell r="A14" t="str">
            <v>10400512747480001</v>
          </cell>
          <cell r="C14" t="str">
            <v>Stadium Dr U Stad</v>
          </cell>
          <cell r="D14">
            <v>41397</v>
          </cell>
          <cell r="E14">
            <v>41406</v>
          </cell>
          <cell r="F14">
            <v>1500</v>
          </cell>
          <cell r="G14">
            <v>299.43</v>
          </cell>
          <cell r="H14">
            <v>1355.05</v>
          </cell>
          <cell r="I14">
            <v>2.44</v>
          </cell>
          <cell r="J14">
            <v>1656.92</v>
          </cell>
        </row>
        <row r="15">
          <cell r="C15" t="str">
            <v>901B Stadium, Glen Rose</v>
          </cell>
          <cell r="D15">
            <v>41375</v>
          </cell>
          <cell r="E15">
            <v>41396</v>
          </cell>
          <cell r="F15">
            <v>3440</v>
          </cell>
        </row>
        <row r="16">
          <cell r="A16" t="str">
            <v>10400512747490001</v>
          </cell>
          <cell r="C16" t="str">
            <v>Stadium Dr B Hi S</v>
          </cell>
          <cell r="D16">
            <v>41375</v>
          </cell>
          <cell r="E16">
            <v>41405</v>
          </cell>
          <cell r="F16">
            <v>78847</v>
          </cell>
          <cell r="G16">
            <v>4784.25</v>
          </cell>
          <cell r="H16">
            <v>3735.76</v>
          </cell>
          <cell r="I16">
            <v>22.49</v>
          </cell>
          <cell r="J16">
            <v>8542.5</v>
          </cell>
        </row>
        <row r="17">
          <cell r="C17" t="str">
            <v>Glen Rose High School</v>
          </cell>
        </row>
        <row r="18">
          <cell r="A18" t="str">
            <v>10400512747490002</v>
          </cell>
          <cell r="C18" t="str">
            <v>Stadium Dr 175 W Seclt</v>
          </cell>
          <cell r="D18">
            <v>41375</v>
          </cell>
          <cell r="E18">
            <v>41406</v>
          </cell>
          <cell r="F18">
            <v>71</v>
          </cell>
          <cell r="G18">
            <v>4.35</v>
          </cell>
          <cell r="H18">
            <v>8.81</v>
          </cell>
          <cell r="I18">
            <v>0.02</v>
          </cell>
          <cell r="J18">
            <v>13.18</v>
          </cell>
        </row>
        <row r="19">
          <cell r="C19" t="str">
            <v>Glen Rose High School</v>
          </cell>
        </row>
        <row r="20">
          <cell r="A20" t="str">
            <v>10400512747490003</v>
          </cell>
          <cell r="C20" t="str">
            <v>Stadium Dr 400W Flood</v>
          </cell>
          <cell r="D20">
            <v>41375</v>
          </cell>
          <cell r="E20">
            <v>41406</v>
          </cell>
          <cell r="F20">
            <v>160</v>
          </cell>
          <cell r="G20">
            <v>9.79</v>
          </cell>
          <cell r="H20">
            <v>14.66</v>
          </cell>
          <cell r="I20">
            <v>0.04</v>
          </cell>
          <cell r="J20">
            <v>24.49</v>
          </cell>
        </row>
        <row r="21">
          <cell r="C21" t="str">
            <v>Glen Rose High School</v>
          </cell>
        </row>
        <row r="22">
          <cell r="A22" t="str">
            <v>10400512747490006</v>
          </cell>
          <cell r="C22" t="str">
            <v>Stadium Dr 1000W Flood</v>
          </cell>
          <cell r="D22">
            <v>41375</v>
          </cell>
          <cell r="E22">
            <v>41406</v>
          </cell>
          <cell r="F22">
            <v>374</v>
          </cell>
          <cell r="G22">
            <v>22.89</v>
          </cell>
          <cell r="H22">
            <v>27</v>
          </cell>
          <cell r="I22">
            <v>0.07</v>
          </cell>
          <cell r="J22">
            <v>49.96</v>
          </cell>
        </row>
        <row r="23">
          <cell r="C23" t="str">
            <v>Glen Rose High School</v>
          </cell>
        </row>
        <row r="24">
          <cell r="A24" t="str">
            <v>10400512747500001</v>
          </cell>
          <cell r="C24" t="str">
            <v>1101 Stadium Dr B Admin</v>
          </cell>
          <cell r="D24">
            <v>41375</v>
          </cell>
          <cell r="E24">
            <v>41406</v>
          </cell>
          <cell r="F24">
            <v>3920</v>
          </cell>
          <cell r="G24">
            <v>237.73</v>
          </cell>
          <cell r="H24">
            <v>301.68</v>
          </cell>
          <cell r="I24">
            <v>1.22</v>
          </cell>
          <cell r="J24">
            <v>540.63</v>
          </cell>
        </row>
        <row r="25">
          <cell r="C25" t="str">
            <v>Glen Rose Adm Bldg</v>
          </cell>
        </row>
        <row r="26">
          <cell r="A26" t="str">
            <v>10400512747520001</v>
          </cell>
          <cell r="C26" t="str">
            <v>705 S W Big Bend Trail</v>
          </cell>
          <cell r="D26">
            <v>41375</v>
          </cell>
          <cell r="E26">
            <v>41406</v>
          </cell>
          <cell r="F26">
            <v>25200</v>
          </cell>
          <cell r="G26">
            <v>1528.74</v>
          </cell>
          <cell r="H26">
            <v>831.39</v>
          </cell>
          <cell r="I26">
            <v>6</v>
          </cell>
          <cell r="J26">
            <v>2366.13</v>
          </cell>
        </row>
        <row r="27">
          <cell r="C27" t="str">
            <v>Tech Center</v>
          </cell>
        </row>
        <row r="28">
          <cell r="A28" t="str">
            <v>10400512747800001</v>
          </cell>
          <cell r="C28" t="str">
            <v>501 Stadium Dr B Elem</v>
          </cell>
          <cell r="D28">
            <v>41375</v>
          </cell>
          <cell r="E28">
            <v>41405</v>
          </cell>
          <cell r="F28">
            <v>41156</v>
          </cell>
          <cell r="G28">
            <v>2497.25</v>
          </cell>
          <cell r="H28">
            <v>2427.14</v>
          </cell>
          <cell r="I28">
            <v>11.63</v>
          </cell>
          <cell r="J28">
            <v>9259.8</v>
          </cell>
        </row>
        <row r="29">
          <cell r="C29" t="str">
            <v>Glen Rose Elementary</v>
          </cell>
          <cell r="D29">
            <v>41346</v>
          </cell>
          <cell r="E29">
            <v>41373</v>
          </cell>
          <cell r="F29">
            <v>30721</v>
          </cell>
          <cell r="G29">
            <v>1814.84</v>
          </cell>
          <cell r="H29">
            <v>2508.94</v>
          </cell>
        </row>
        <row r="30">
          <cell r="A30" t="str">
            <v>10400512750320001</v>
          </cell>
          <cell r="C30" t="str">
            <v>305 Gaither St B US Brn</v>
          </cell>
          <cell r="D30">
            <v>41380</v>
          </cell>
          <cell r="E30">
            <v>41408</v>
          </cell>
          <cell r="F30">
            <v>97</v>
          </cell>
          <cell r="G30">
            <v>5.9</v>
          </cell>
          <cell r="H30">
            <v>42.57</v>
          </cell>
          <cell r="I30">
            <v>0.05</v>
          </cell>
          <cell r="J30">
            <v>48.519999999999996</v>
          </cell>
        </row>
        <row r="31">
          <cell r="C31" t="str">
            <v>Glen Rose Jr High</v>
          </cell>
        </row>
        <row r="32">
          <cell r="A32" t="str">
            <v>10400512750970001</v>
          </cell>
          <cell r="C32" t="str">
            <v>Holden St MSC Mid SC</v>
          </cell>
          <cell r="D32">
            <v>41380</v>
          </cell>
          <cell r="E32">
            <v>41407</v>
          </cell>
          <cell r="F32">
            <v>36046</v>
          </cell>
          <cell r="G32">
            <v>2193.82</v>
          </cell>
          <cell r="H32">
            <v>1950.32</v>
          </cell>
          <cell r="I32">
            <v>11.39</v>
          </cell>
          <cell r="J32">
            <v>4155.530000000001</v>
          </cell>
        </row>
        <row r="33">
          <cell r="C33" t="str">
            <v>Glen Rose JH Fenced Area</v>
          </cell>
        </row>
        <row r="34">
          <cell r="A34" t="str">
            <v>10400512750980001</v>
          </cell>
          <cell r="C34" t="str">
            <v>Holden St Seclite</v>
          </cell>
          <cell r="D34">
            <v>41380</v>
          </cell>
          <cell r="E34">
            <v>41408</v>
          </cell>
          <cell r="F34">
            <v>640</v>
          </cell>
          <cell r="G34">
            <v>39.28</v>
          </cell>
          <cell r="H34">
            <v>58.71</v>
          </cell>
          <cell r="I34">
            <v>0.15</v>
          </cell>
          <cell r="J34">
            <v>98.14000000000001</v>
          </cell>
        </row>
        <row r="35">
          <cell r="C35" t="str">
            <v>JH Security Light</v>
          </cell>
        </row>
        <row r="36">
          <cell r="A36" t="str">
            <v>10400512750990001</v>
          </cell>
          <cell r="C36" t="str">
            <v>710 College Ave B Gym</v>
          </cell>
          <cell r="D36">
            <v>41380</v>
          </cell>
          <cell r="E36">
            <v>41408</v>
          </cell>
          <cell r="F36">
            <v>13200</v>
          </cell>
          <cell r="G36">
            <v>802.08</v>
          </cell>
          <cell r="H36">
            <v>920.26</v>
          </cell>
          <cell r="I36">
            <v>3.92</v>
          </cell>
          <cell r="J36">
            <v>1726.2600000000002</v>
          </cell>
        </row>
        <row r="37">
          <cell r="C37" t="str">
            <v>Glen Rose Jr High Gym</v>
          </cell>
        </row>
        <row r="38">
          <cell r="A38" t="str">
            <v>10400512754500001</v>
          </cell>
          <cell r="C38" t="str">
            <v>College Ave B GED</v>
          </cell>
          <cell r="D38">
            <v>41383</v>
          </cell>
          <cell r="E38">
            <v>41414</v>
          </cell>
          <cell r="F38">
            <v>410</v>
          </cell>
          <cell r="G38">
            <v>24.82</v>
          </cell>
          <cell r="H38">
            <v>60.89</v>
          </cell>
          <cell r="I38">
            <v>0.09</v>
          </cell>
          <cell r="J38">
            <v>85.80000000000001</v>
          </cell>
        </row>
        <row r="39">
          <cell r="C39" t="str">
            <v>Glen Rose Jr. High</v>
          </cell>
        </row>
        <row r="40">
          <cell r="A40" t="str">
            <v>10400512754620001</v>
          </cell>
          <cell r="C40" t="str">
            <v>702 College Ave.</v>
          </cell>
          <cell r="D40">
            <v>41383</v>
          </cell>
          <cell r="E40">
            <v>41414</v>
          </cell>
          <cell r="F40">
            <v>710</v>
          </cell>
          <cell r="G40">
            <v>43.03</v>
          </cell>
          <cell r="H40">
            <v>31.32</v>
          </cell>
          <cell r="I40">
            <v>0.31</v>
          </cell>
          <cell r="J40">
            <v>74.66</v>
          </cell>
        </row>
        <row r="41">
          <cell r="C41" t="str">
            <v>Rental house</v>
          </cell>
        </row>
        <row r="42">
          <cell r="A42" t="str">
            <v>10400513226120001</v>
          </cell>
          <cell r="C42" t="str">
            <v>NE Big Bend TR</v>
          </cell>
          <cell r="D42">
            <v>41375</v>
          </cell>
          <cell r="E42">
            <v>41406</v>
          </cell>
          <cell r="F42">
            <v>24</v>
          </cell>
          <cell r="G42">
            <v>1.46</v>
          </cell>
          <cell r="H42">
            <v>16.54</v>
          </cell>
          <cell r="J42">
            <v>18</v>
          </cell>
        </row>
        <row r="43">
          <cell r="C43" t="str">
            <v>Glen Rose Tiger Stadium Sign</v>
          </cell>
        </row>
        <row r="44">
          <cell r="A44" t="str">
            <v>10400513307090001</v>
          </cell>
          <cell r="C44" t="str">
            <v>College Ave B Temp</v>
          </cell>
          <cell r="D44">
            <v>41383</v>
          </cell>
          <cell r="E44">
            <v>41414</v>
          </cell>
          <cell r="F44">
            <v>2057</v>
          </cell>
          <cell r="G44">
            <v>124.58</v>
          </cell>
          <cell r="H44">
            <v>161.36</v>
          </cell>
          <cell r="I44">
            <v>0.48</v>
          </cell>
          <cell r="J44">
            <v>286.42</v>
          </cell>
        </row>
        <row r="45">
          <cell r="C45" t="str">
            <v>Glen Rose Jr. High Shop</v>
          </cell>
        </row>
        <row r="46">
          <cell r="A46" t="str">
            <v>10400513319180001</v>
          </cell>
          <cell r="C46" t="str">
            <v>900 Stadium DR U Bus BR</v>
          </cell>
          <cell r="D46">
            <v>41375</v>
          </cell>
          <cell r="E46">
            <v>41406</v>
          </cell>
          <cell r="F46">
            <v>7865</v>
          </cell>
          <cell r="G46">
            <v>477.12</v>
          </cell>
          <cell r="H46">
            <v>286.1</v>
          </cell>
          <cell r="I46">
            <v>1.77</v>
          </cell>
          <cell r="J46">
            <v>764.99</v>
          </cell>
        </row>
        <row r="47">
          <cell r="C47" t="str">
            <v>Glen Rose Bus Barn Storage Bldg</v>
          </cell>
        </row>
        <row r="48">
          <cell r="A48" t="str">
            <v>10400513348220001</v>
          </cell>
          <cell r="C48" t="str">
            <v>1300 S W Barnard</v>
          </cell>
          <cell r="D48">
            <v>41375</v>
          </cell>
          <cell r="E48">
            <v>41406</v>
          </cell>
          <cell r="F48">
            <v>1320</v>
          </cell>
          <cell r="G48">
            <v>80.24</v>
          </cell>
          <cell r="H48">
            <v>65.87</v>
          </cell>
          <cell r="I48">
            <v>0.02</v>
          </cell>
          <cell r="J48">
            <v>146.13000000000002</v>
          </cell>
        </row>
        <row r="49">
          <cell r="C49" t="str">
            <v>Ball Field Lights</v>
          </cell>
        </row>
        <row r="50">
          <cell r="A50" t="str">
            <v>10400513455290001</v>
          </cell>
          <cell r="C50" t="str">
            <v>Stadium Dr MSC Interm</v>
          </cell>
          <cell r="D50">
            <v>41375</v>
          </cell>
          <cell r="E50">
            <v>41406</v>
          </cell>
          <cell r="F50">
            <v>44692.155</v>
          </cell>
          <cell r="G50">
            <v>2721.83</v>
          </cell>
          <cell r="H50">
            <v>3853.17</v>
          </cell>
          <cell r="I50">
            <v>12.38</v>
          </cell>
          <cell r="J50">
            <v>6587.38</v>
          </cell>
        </row>
        <row r="51">
          <cell r="C51" t="str">
            <v>Glen Rose Intermediate Bldg</v>
          </cell>
        </row>
        <row r="52">
          <cell r="A52" t="str">
            <v>10400513464320001</v>
          </cell>
          <cell r="C52" t="str">
            <v>SW Big Bend TR MSC Tennis</v>
          </cell>
          <cell r="D52">
            <v>41375</v>
          </cell>
          <cell r="E52">
            <v>41406</v>
          </cell>
          <cell r="F52">
            <v>827</v>
          </cell>
          <cell r="G52">
            <v>50.14</v>
          </cell>
          <cell r="H52">
            <v>348.5</v>
          </cell>
          <cell r="I52">
            <v>0.39</v>
          </cell>
          <cell r="J52">
            <v>399.03</v>
          </cell>
        </row>
        <row r="53">
          <cell r="C53" t="str">
            <v>Glen Rose HS Tennis Courts</v>
          </cell>
        </row>
        <row r="54">
          <cell r="A54" t="str">
            <v>10400513507570001</v>
          </cell>
          <cell r="C54" t="str">
            <v>Stadium DR MSC Audito</v>
          </cell>
          <cell r="D54">
            <v>41375</v>
          </cell>
          <cell r="E54">
            <v>41405</v>
          </cell>
          <cell r="F54">
            <v>24242</v>
          </cell>
          <cell r="G54">
            <v>1470.94</v>
          </cell>
          <cell r="H54">
            <v>2773.11</v>
          </cell>
          <cell r="I54">
            <v>8.13</v>
          </cell>
          <cell r="J54">
            <v>4252.18</v>
          </cell>
        </row>
        <row r="55">
          <cell r="C55" t="str">
            <v>Glen Rose HS Auditorium</v>
          </cell>
        </row>
        <row r="56">
          <cell r="A56" t="str">
            <v>10400513597460001</v>
          </cell>
          <cell r="C56" t="str">
            <v>FM 56 N Som Co U Barn</v>
          </cell>
          <cell r="D56">
            <v>41387</v>
          </cell>
          <cell r="E56">
            <v>41415</v>
          </cell>
          <cell r="F56">
            <v>1808</v>
          </cell>
          <cell r="G56">
            <v>109.42</v>
          </cell>
          <cell r="H56">
            <v>100.44</v>
          </cell>
          <cell r="I56">
            <v>0.93</v>
          </cell>
          <cell r="J56">
            <v>210.79000000000002</v>
          </cell>
        </row>
        <row r="57">
          <cell r="C57" t="str">
            <v>Glen Rose AG Barn</v>
          </cell>
        </row>
        <row r="58">
          <cell r="A58" t="str">
            <v>10400513597460002</v>
          </cell>
          <cell r="C58" t="str">
            <v>FM 56 N Som Co 100W Seclt</v>
          </cell>
          <cell r="D58">
            <v>41387</v>
          </cell>
          <cell r="E58">
            <v>41415</v>
          </cell>
          <cell r="F58">
            <v>50</v>
          </cell>
          <cell r="G58">
            <v>3.07</v>
          </cell>
          <cell r="H58">
            <v>8.45</v>
          </cell>
          <cell r="J58">
            <v>11.52</v>
          </cell>
        </row>
        <row r="59">
          <cell r="C59" t="str">
            <v>Glen Rose AG Barn</v>
          </cell>
        </row>
        <row r="60">
          <cell r="A60" t="str">
            <v>10400513601340001</v>
          </cell>
          <cell r="C60" t="str">
            <v>Stadium Dr B Ball</v>
          </cell>
          <cell r="D60">
            <v>41375</v>
          </cell>
          <cell r="E60">
            <v>41406</v>
          </cell>
          <cell r="F60">
            <v>1153</v>
          </cell>
          <cell r="G60">
            <v>70.1</v>
          </cell>
          <cell r="H60">
            <v>58.46</v>
          </cell>
          <cell r="I60">
            <v>0.21</v>
          </cell>
          <cell r="J60">
            <v>128.77</v>
          </cell>
        </row>
        <row r="61">
          <cell r="C61" t="str">
            <v>Glen Rose Baseball Fields</v>
          </cell>
        </row>
        <row r="62">
          <cell r="A62" t="str">
            <v>10400513623510001</v>
          </cell>
          <cell r="C62" t="str">
            <v>Stadium DR U Field</v>
          </cell>
          <cell r="D62">
            <v>41375</v>
          </cell>
          <cell r="E62">
            <v>41406</v>
          </cell>
          <cell r="F62">
            <v>4120</v>
          </cell>
          <cell r="G62">
            <v>249.85</v>
          </cell>
          <cell r="H62">
            <v>400.56</v>
          </cell>
          <cell r="I62">
            <v>1.72</v>
          </cell>
          <cell r="J62">
            <v>652.13</v>
          </cell>
        </row>
        <row r="63">
          <cell r="C63" t="str">
            <v>Glen Rose Field House New</v>
          </cell>
        </row>
        <row r="64">
          <cell r="A64" t="str">
            <v>10400513729710001</v>
          </cell>
          <cell r="C64" t="str">
            <v>Stadium DR</v>
          </cell>
          <cell r="D64">
            <v>41375</v>
          </cell>
          <cell r="E64">
            <v>41406</v>
          </cell>
          <cell r="F64">
            <v>2440</v>
          </cell>
          <cell r="G64">
            <v>147.97</v>
          </cell>
          <cell r="H64">
            <v>137.1</v>
          </cell>
          <cell r="I64">
            <v>0.79</v>
          </cell>
          <cell r="J64">
            <v>285.86</v>
          </cell>
        </row>
        <row r="65">
          <cell r="C65" t="str">
            <v>Glen Rose Maint Bldg Tin</v>
          </cell>
        </row>
        <row r="66">
          <cell r="A66" t="str">
            <v>10400513937110001</v>
          </cell>
          <cell r="C66" t="str">
            <v>Stadium DR MSC Voc</v>
          </cell>
          <cell r="D66">
            <v>41375</v>
          </cell>
          <cell r="E66">
            <v>41406</v>
          </cell>
          <cell r="F66">
            <v>8600</v>
          </cell>
          <cell r="G66">
            <v>521.56</v>
          </cell>
          <cell r="H66">
            <v>379.7</v>
          </cell>
          <cell r="I66">
            <v>2.18</v>
          </cell>
          <cell r="J66">
            <v>903.4399999999999</v>
          </cell>
        </row>
        <row r="67">
          <cell r="C67" t="str">
            <v>Glen Rose HS Vocational Bldg</v>
          </cell>
        </row>
        <row r="68">
          <cell r="A68" t="str">
            <v>10400513941340001</v>
          </cell>
          <cell r="C68" t="str">
            <v>S W Barnard</v>
          </cell>
          <cell r="D68">
            <v>41375</v>
          </cell>
          <cell r="E68">
            <v>41406</v>
          </cell>
          <cell r="F68">
            <v>880</v>
          </cell>
          <cell r="G68">
            <v>53.38</v>
          </cell>
          <cell r="H68">
            <v>379.79</v>
          </cell>
          <cell r="I68">
            <v>0.1</v>
          </cell>
          <cell r="J68">
            <v>433.27000000000004</v>
          </cell>
        </row>
        <row r="69">
          <cell r="C69" t="str">
            <v>Barnard St Ball fields</v>
          </cell>
        </row>
        <row r="70">
          <cell r="A70" t="str">
            <v>10400514050940001</v>
          </cell>
          <cell r="C70" t="str">
            <v>Stadium DR U Port 1</v>
          </cell>
          <cell r="D70">
            <v>41375</v>
          </cell>
          <cell r="E70">
            <v>41406</v>
          </cell>
          <cell r="F70">
            <v>1177</v>
          </cell>
          <cell r="G70">
            <v>71.38</v>
          </cell>
          <cell r="H70">
            <v>183.77</v>
          </cell>
          <cell r="I70">
            <v>0.18</v>
          </cell>
          <cell r="J70">
            <v>255.33</v>
          </cell>
        </row>
        <row r="71">
          <cell r="C71" t="str">
            <v>Glen Rose HS Portable Bldg.</v>
          </cell>
        </row>
        <row r="72">
          <cell r="A72" t="str">
            <v>10400514567560001</v>
          </cell>
          <cell r="C72" t="str">
            <v>600 Texas Drive</v>
          </cell>
          <cell r="D72">
            <v>41383</v>
          </cell>
          <cell r="E72">
            <v>41414</v>
          </cell>
          <cell r="F72">
            <v>0</v>
          </cell>
          <cell r="G72">
            <v>0</v>
          </cell>
          <cell r="H72">
            <v>15.36</v>
          </cell>
          <cell r="J72">
            <v>15.36</v>
          </cell>
        </row>
        <row r="73">
          <cell r="C73" t="str">
            <v>Land Purchase</v>
          </cell>
        </row>
        <row r="74">
          <cell r="A74" t="str">
            <v>10400515018860001</v>
          </cell>
          <cell r="C74" t="str">
            <v>601 Stadium Drive</v>
          </cell>
          <cell r="D74">
            <v>41375</v>
          </cell>
          <cell r="E74">
            <v>41406</v>
          </cell>
          <cell r="F74">
            <v>279</v>
          </cell>
          <cell r="G74">
            <v>16.97</v>
          </cell>
          <cell r="H74">
            <v>29.08</v>
          </cell>
          <cell r="I74">
            <v>0.06</v>
          </cell>
          <cell r="J74">
            <v>46.11</v>
          </cell>
        </row>
        <row r="75">
          <cell r="C75" t="str">
            <v>Elementary Sign</v>
          </cell>
        </row>
        <row r="76">
          <cell r="A76" t="str">
            <v>10400515208090001</v>
          </cell>
          <cell r="C76" t="str">
            <v>1300 SW Barnard St</v>
          </cell>
          <cell r="D76">
            <v>41375</v>
          </cell>
          <cell r="E76">
            <v>41406</v>
          </cell>
          <cell r="F76">
            <v>1063</v>
          </cell>
          <cell r="G76">
            <v>64.49</v>
          </cell>
          <cell r="H76">
            <v>97.64</v>
          </cell>
          <cell r="I76">
            <v>0.23</v>
          </cell>
          <cell r="J76">
            <v>162.35999999999999</v>
          </cell>
        </row>
        <row r="77">
          <cell r="C77" t="str">
            <v>Beck Field Concession Stand</v>
          </cell>
        </row>
        <row r="78">
          <cell r="A78" t="str">
            <v>10400515356300001</v>
          </cell>
          <cell r="C78" t="str">
            <v>1001 Stadium Drive</v>
          </cell>
          <cell r="D78">
            <v>41375</v>
          </cell>
          <cell r="E78">
            <v>41405</v>
          </cell>
          <cell r="F78">
            <v>22859</v>
          </cell>
          <cell r="G78">
            <v>1502.38</v>
          </cell>
          <cell r="H78">
            <v>3821.11</v>
          </cell>
          <cell r="I78">
            <v>12.01</v>
          </cell>
          <cell r="J78">
            <v>5335.5</v>
          </cell>
        </row>
        <row r="79">
          <cell r="C79" t="str">
            <v>Tiger Arena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A36"/>
  <sheetViews>
    <sheetView zoomScalePageLayoutView="0" workbookViewId="0" topLeftCell="S2">
      <selection activeCell="AB24" sqref="AB24"/>
    </sheetView>
  </sheetViews>
  <sheetFormatPr defaultColWidth="9.140625" defaultRowHeight="12.75"/>
  <cols>
    <col min="1" max="1" width="20.00390625" style="6" customWidth="1"/>
    <col min="2" max="2" width="7.28125" style="0" customWidth="1"/>
    <col min="3" max="3" width="8.28125" style="3" customWidth="1"/>
    <col min="4" max="4" width="8.57421875" style="0" customWidth="1"/>
    <col min="5" max="5" width="8.8515625" style="6" customWidth="1"/>
    <col min="6" max="6" width="8.7109375" style="0" customWidth="1"/>
    <col min="7" max="7" width="9.421875" style="6" customWidth="1"/>
    <col min="8" max="8" width="7.7109375" style="0" customWidth="1"/>
    <col min="9" max="9" width="9.140625" style="6" customWidth="1"/>
    <col min="10" max="10" width="7.57421875" style="0" customWidth="1"/>
    <col min="11" max="11" width="9.140625" style="6" customWidth="1"/>
    <col min="12" max="12" width="8.57421875" style="0" customWidth="1"/>
    <col min="13" max="13" width="9.140625" style="6" customWidth="1"/>
    <col min="14" max="14" width="7.8515625" style="0" customWidth="1"/>
    <col min="15" max="15" width="9.140625" style="6" customWidth="1"/>
    <col min="16" max="16" width="6.8515625" style="0" customWidth="1"/>
    <col min="17" max="17" width="9.421875" style="6" customWidth="1"/>
    <col min="18" max="18" width="8.421875" style="7" customWidth="1"/>
    <col min="19" max="19" width="9.140625" style="3" customWidth="1"/>
    <col min="20" max="20" width="8.140625" style="0" customWidth="1"/>
    <col min="21" max="21" width="9.140625" style="6" customWidth="1"/>
    <col min="22" max="22" width="7.8515625" style="0" customWidth="1"/>
    <col min="23" max="23" width="9.140625" style="6" customWidth="1"/>
    <col min="24" max="24" width="7.140625" style="0" customWidth="1"/>
    <col min="25" max="25" width="9.140625" style="6" customWidth="1"/>
    <col min="27" max="27" width="12.00390625" style="0" customWidth="1"/>
  </cols>
  <sheetData>
    <row r="2" spans="1:25" s="1" customFormat="1" ht="12.75">
      <c r="A2" s="4"/>
      <c r="C2" s="2"/>
      <c r="E2" s="4"/>
      <c r="G2" s="4"/>
      <c r="I2" s="4"/>
      <c r="K2" s="4"/>
      <c r="M2" s="4"/>
      <c r="O2" s="4"/>
      <c r="Q2" s="4"/>
      <c r="R2" s="19"/>
      <c r="S2" s="2"/>
      <c r="U2" s="4"/>
      <c r="W2" s="4"/>
      <c r="Y2" s="4"/>
    </row>
    <row r="3" spans="1:26" s="12" customFormat="1" ht="12.75">
      <c r="A3" s="11"/>
      <c r="B3" s="12" t="s">
        <v>22</v>
      </c>
      <c r="C3" s="13"/>
      <c r="D3" s="12" t="s">
        <v>23</v>
      </c>
      <c r="E3" s="11"/>
      <c r="F3" s="12" t="s">
        <v>24</v>
      </c>
      <c r="G3" s="11"/>
      <c r="H3" s="12" t="s">
        <v>25</v>
      </c>
      <c r="I3" s="11"/>
      <c r="J3" s="12" t="s">
        <v>26</v>
      </c>
      <c r="K3" s="11"/>
      <c r="L3" s="12" t="s">
        <v>27</v>
      </c>
      <c r="M3" s="11"/>
      <c r="N3" s="12" t="s">
        <v>28</v>
      </c>
      <c r="O3" s="11"/>
      <c r="P3" s="12" t="s">
        <v>29</v>
      </c>
      <c r="Q3" s="11"/>
      <c r="R3" s="20" t="s">
        <v>30</v>
      </c>
      <c r="S3" s="13"/>
      <c r="T3" s="12" t="s">
        <v>31</v>
      </c>
      <c r="U3" s="11"/>
      <c r="V3" s="12" t="s">
        <v>32</v>
      </c>
      <c r="W3" s="11"/>
      <c r="X3" s="12" t="s">
        <v>33</v>
      </c>
      <c r="Y3" s="11"/>
      <c r="Z3" s="12" t="s">
        <v>37</v>
      </c>
    </row>
    <row r="4" spans="1:27" s="15" customFormat="1" ht="12.75">
      <c r="A4" s="14" t="s">
        <v>0</v>
      </c>
      <c r="B4" s="15" t="s">
        <v>35</v>
      </c>
      <c r="C4" s="16" t="s">
        <v>36</v>
      </c>
      <c r="D4" s="15" t="s">
        <v>35</v>
      </c>
      <c r="E4" s="16" t="s">
        <v>36</v>
      </c>
      <c r="F4" s="15" t="s">
        <v>35</v>
      </c>
      <c r="G4" s="16" t="s">
        <v>36</v>
      </c>
      <c r="H4" s="15" t="s">
        <v>35</v>
      </c>
      <c r="I4" s="16" t="s">
        <v>36</v>
      </c>
      <c r="J4" s="15" t="s">
        <v>35</v>
      </c>
      <c r="K4" s="16" t="s">
        <v>36</v>
      </c>
      <c r="L4" s="15" t="s">
        <v>35</v>
      </c>
      <c r="M4" s="16" t="s">
        <v>36</v>
      </c>
      <c r="N4" s="15" t="s">
        <v>35</v>
      </c>
      <c r="O4" s="16" t="s">
        <v>36</v>
      </c>
      <c r="P4" s="15" t="s">
        <v>35</v>
      </c>
      <c r="Q4" s="16" t="s">
        <v>36</v>
      </c>
      <c r="R4" s="21" t="s">
        <v>35</v>
      </c>
      <c r="S4" s="16" t="s">
        <v>36</v>
      </c>
      <c r="T4" s="15" t="s">
        <v>35</v>
      </c>
      <c r="U4" s="16" t="s">
        <v>36</v>
      </c>
      <c r="V4" s="15" t="s">
        <v>35</v>
      </c>
      <c r="W4" s="16" t="s">
        <v>36</v>
      </c>
      <c r="X4" s="15" t="s">
        <v>35</v>
      </c>
      <c r="Y4" s="16" t="s">
        <v>36</v>
      </c>
      <c r="Z4" s="15" t="s">
        <v>35</v>
      </c>
      <c r="AA4" s="15" t="s">
        <v>36</v>
      </c>
    </row>
    <row r="5" spans="1:21" ht="12.75">
      <c r="A5" s="5"/>
      <c r="U5" s="3"/>
    </row>
    <row r="6" spans="1:27" ht="12.75">
      <c r="A6" s="6" t="s">
        <v>1</v>
      </c>
      <c r="B6">
        <v>49</v>
      </c>
      <c r="C6" s="3">
        <v>8.61</v>
      </c>
      <c r="D6">
        <v>20</v>
      </c>
      <c r="E6" s="6">
        <v>5.83</v>
      </c>
      <c r="F6" s="17">
        <v>0</v>
      </c>
      <c r="G6" s="6">
        <v>3.92</v>
      </c>
      <c r="H6" s="17">
        <v>0</v>
      </c>
      <c r="I6" s="6">
        <v>3.92</v>
      </c>
      <c r="J6" s="17">
        <v>0</v>
      </c>
      <c r="K6" s="6">
        <v>3.92</v>
      </c>
      <c r="L6" s="17">
        <v>1</v>
      </c>
      <c r="M6" s="6">
        <v>4.02</v>
      </c>
      <c r="N6" s="17">
        <v>9</v>
      </c>
      <c r="O6" s="6">
        <v>4.8</v>
      </c>
      <c r="P6" s="17">
        <v>1</v>
      </c>
      <c r="Q6" s="6">
        <v>4.02</v>
      </c>
      <c r="R6" s="22">
        <v>3</v>
      </c>
      <c r="S6" s="3">
        <v>3.84</v>
      </c>
      <c r="T6" s="17">
        <v>11</v>
      </c>
      <c r="U6" s="6">
        <v>4.58</v>
      </c>
      <c r="V6" s="17">
        <v>75</v>
      </c>
      <c r="W6" s="6">
        <v>10.67</v>
      </c>
      <c r="X6" s="17">
        <v>145</v>
      </c>
      <c r="Y6" s="6">
        <v>17.4</v>
      </c>
      <c r="Z6">
        <f aca="true" t="shared" si="0" ref="Z6:Z34">B6+D6+F6+H6+J6+L6+N6+P6+R6+T6+V6+X6</f>
        <v>314</v>
      </c>
      <c r="AA6" s="18">
        <f aca="true" t="shared" si="1" ref="AA6:AA34">C6+E6+G6+I6+K6+M6+O6+Q6+S6+U6+W6+Y6</f>
        <v>75.53</v>
      </c>
    </row>
    <row r="7" spans="1:27" ht="12.75">
      <c r="A7" s="6" t="s">
        <v>1</v>
      </c>
      <c r="B7">
        <v>748</v>
      </c>
      <c r="C7" s="3">
        <v>96.54</v>
      </c>
      <c r="D7">
        <v>748</v>
      </c>
      <c r="E7" s="6">
        <v>96.54</v>
      </c>
      <c r="F7" s="17">
        <v>748</v>
      </c>
      <c r="G7" s="6">
        <v>96.54</v>
      </c>
      <c r="H7" s="17">
        <v>748</v>
      </c>
      <c r="I7" s="6">
        <v>96.54</v>
      </c>
      <c r="J7" s="17">
        <v>748</v>
      </c>
      <c r="K7" s="6">
        <v>96.54</v>
      </c>
      <c r="L7" s="17">
        <v>748</v>
      </c>
      <c r="M7" s="6">
        <v>96.54</v>
      </c>
      <c r="N7" s="17">
        <v>748</v>
      </c>
      <c r="O7" s="6">
        <v>96.54</v>
      </c>
      <c r="P7" s="17">
        <v>748</v>
      </c>
      <c r="Q7" s="6">
        <v>96.54</v>
      </c>
      <c r="R7" s="22">
        <v>748</v>
      </c>
      <c r="S7" s="3">
        <v>91.68</v>
      </c>
      <c r="T7" s="17">
        <v>748</v>
      </c>
      <c r="U7" s="6">
        <v>91.68</v>
      </c>
      <c r="V7" s="17">
        <v>748</v>
      </c>
      <c r="W7" s="6">
        <v>96.1</v>
      </c>
      <c r="X7" s="17">
        <v>748</v>
      </c>
      <c r="Y7" s="6">
        <v>96.1</v>
      </c>
      <c r="Z7">
        <f t="shared" si="0"/>
        <v>8976</v>
      </c>
      <c r="AA7" s="18">
        <f t="shared" si="1"/>
        <v>1147.8799999999999</v>
      </c>
    </row>
    <row r="8" spans="1:27" ht="12.75">
      <c r="A8" s="6" t="s">
        <v>1</v>
      </c>
      <c r="B8">
        <v>50</v>
      </c>
      <c r="C8" s="3">
        <v>11.65</v>
      </c>
      <c r="D8">
        <v>50</v>
      </c>
      <c r="E8" s="6">
        <v>11.65</v>
      </c>
      <c r="F8" s="17">
        <v>50</v>
      </c>
      <c r="G8" s="6">
        <v>11.65</v>
      </c>
      <c r="H8" s="17">
        <v>50</v>
      </c>
      <c r="I8" s="6">
        <v>11.65</v>
      </c>
      <c r="J8" s="17">
        <v>50</v>
      </c>
      <c r="K8" s="6">
        <v>11.65</v>
      </c>
      <c r="L8" s="17">
        <v>50</v>
      </c>
      <c r="M8" s="6">
        <v>11.65</v>
      </c>
      <c r="N8" s="17">
        <v>50</v>
      </c>
      <c r="O8" s="6">
        <v>11.65</v>
      </c>
      <c r="P8" s="17">
        <v>50</v>
      </c>
      <c r="Q8" s="6">
        <v>11.65</v>
      </c>
      <c r="R8" s="22">
        <v>50</v>
      </c>
      <c r="S8" s="3">
        <v>10.84</v>
      </c>
      <c r="T8" s="17">
        <v>50</v>
      </c>
      <c r="U8" s="6">
        <v>10.84</v>
      </c>
      <c r="V8" s="17">
        <v>50</v>
      </c>
      <c r="W8" s="6">
        <v>11.43</v>
      </c>
      <c r="X8" s="17">
        <v>50</v>
      </c>
      <c r="Y8" s="6">
        <v>11.43</v>
      </c>
      <c r="Z8">
        <f t="shared" si="0"/>
        <v>600</v>
      </c>
      <c r="AA8" s="18">
        <f t="shared" si="1"/>
        <v>137.74000000000004</v>
      </c>
    </row>
    <row r="9" spans="1:27" ht="12.75">
      <c r="A9" s="6" t="s">
        <v>1</v>
      </c>
      <c r="B9">
        <v>12160</v>
      </c>
      <c r="C9" s="3">
        <v>1943.41</v>
      </c>
      <c r="D9">
        <v>10800</v>
      </c>
      <c r="E9" s="6">
        <v>1848.8</v>
      </c>
      <c r="F9" s="17">
        <v>9600</v>
      </c>
      <c r="G9" s="6">
        <v>1864.14</v>
      </c>
      <c r="H9" s="17">
        <v>6640</v>
      </c>
      <c r="I9" s="6">
        <v>1453.9</v>
      </c>
      <c r="J9" s="17">
        <v>10640</v>
      </c>
      <c r="K9" s="6">
        <v>1601.89</v>
      </c>
      <c r="L9" s="17">
        <v>11840</v>
      </c>
      <c r="M9" s="6">
        <v>1664.15</v>
      </c>
      <c r="N9" s="17">
        <v>10560</v>
      </c>
      <c r="O9" s="6">
        <v>1743.98</v>
      </c>
      <c r="P9" s="17">
        <v>7040</v>
      </c>
      <c r="Q9" s="6">
        <v>1448.19</v>
      </c>
      <c r="R9" s="22">
        <v>7840</v>
      </c>
      <c r="S9" s="3">
        <v>1541.66</v>
      </c>
      <c r="T9" s="17">
        <v>4560</v>
      </c>
      <c r="U9" s="6">
        <v>1091.59</v>
      </c>
      <c r="V9" s="17">
        <v>4240</v>
      </c>
      <c r="W9" s="6">
        <v>1158.26</v>
      </c>
      <c r="X9" s="17">
        <v>6640</v>
      </c>
      <c r="Y9" s="6">
        <v>1411.67</v>
      </c>
      <c r="Z9">
        <f t="shared" si="0"/>
        <v>102560</v>
      </c>
      <c r="AA9" s="18">
        <f t="shared" si="1"/>
        <v>18771.64</v>
      </c>
    </row>
    <row r="10" spans="1:27" ht="12.75">
      <c r="A10" s="6" t="s">
        <v>2</v>
      </c>
      <c r="B10" s="7">
        <v>160320</v>
      </c>
      <c r="C10" s="3">
        <v>13501.18</v>
      </c>
      <c r="D10">
        <v>137120</v>
      </c>
      <c r="E10" s="6">
        <v>11923.85</v>
      </c>
      <c r="F10" s="17">
        <v>119360</v>
      </c>
      <c r="G10" s="6">
        <v>10479.61</v>
      </c>
      <c r="H10" s="17">
        <v>92000</v>
      </c>
      <c r="I10" s="6">
        <v>8715.94</v>
      </c>
      <c r="J10" s="17">
        <v>86080</v>
      </c>
      <c r="K10" s="6">
        <v>8321.41</v>
      </c>
      <c r="L10" s="17">
        <v>104960</v>
      </c>
      <c r="M10" s="6">
        <v>9267.48</v>
      </c>
      <c r="N10" s="17">
        <v>104640</v>
      </c>
      <c r="O10" s="6">
        <v>9335.04</v>
      </c>
      <c r="P10" s="17">
        <v>82880</v>
      </c>
      <c r="Q10" s="6">
        <v>8064.57</v>
      </c>
      <c r="R10" s="7">
        <v>111360</v>
      </c>
      <c r="S10" s="3">
        <v>9574.06</v>
      </c>
      <c r="T10" s="17">
        <v>127680</v>
      </c>
      <c r="U10" s="6">
        <v>11087.61</v>
      </c>
      <c r="V10" s="17">
        <v>94400</v>
      </c>
      <c r="W10" s="6">
        <v>8675.59</v>
      </c>
      <c r="X10" s="17">
        <v>114720</v>
      </c>
      <c r="Y10" s="6">
        <v>9997.72</v>
      </c>
      <c r="Z10">
        <f>B10+D10+F10+H10+J10+L10+N10+P10+S10+T10+V10+X10</f>
        <v>1233734.06</v>
      </c>
      <c r="AA10" s="18">
        <f>C10+E10+G10+I10+K10+M10+O10+Q10+S10+U10+W10+Y10</f>
        <v>118944.06000000001</v>
      </c>
    </row>
    <row r="11" spans="1:27" ht="12.75">
      <c r="A11" s="6" t="s">
        <v>2</v>
      </c>
      <c r="B11">
        <v>71</v>
      </c>
      <c r="C11" s="3">
        <v>13.12</v>
      </c>
      <c r="D11">
        <v>71</v>
      </c>
      <c r="E11" s="6">
        <v>13.12</v>
      </c>
      <c r="F11" s="17">
        <v>71</v>
      </c>
      <c r="G11" s="6">
        <v>13.12</v>
      </c>
      <c r="H11" s="17">
        <v>71</v>
      </c>
      <c r="I11" s="6">
        <v>13.12</v>
      </c>
      <c r="J11" s="17">
        <v>71</v>
      </c>
      <c r="K11" s="6">
        <v>13.12</v>
      </c>
      <c r="L11" s="17">
        <v>71</v>
      </c>
      <c r="M11" s="6">
        <v>13.12</v>
      </c>
      <c r="N11" s="17">
        <v>71</v>
      </c>
      <c r="O11" s="6">
        <v>13.12</v>
      </c>
      <c r="P11" s="17">
        <v>71</v>
      </c>
      <c r="Q11" s="6">
        <v>324.97</v>
      </c>
      <c r="R11" s="7">
        <v>71</v>
      </c>
      <c r="S11" s="3">
        <v>124.98</v>
      </c>
      <c r="T11" s="17">
        <v>71</v>
      </c>
      <c r="U11" s="6">
        <v>12.29</v>
      </c>
      <c r="V11" s="17">
        <v>71</v>
      </c>
      <c r="W11" s="6">
        <v>12.9</v>
      </c>
      <c r="X11" s="17">
        <v>71</v>
      </c>
      <c r="Y11" s="6">
        <v>12.9</v>
      </c>
      <c r="Z11">
        <f t="shared" si="0"/>
        <v>852</v>
      </c>
      <c r="AA11" s="18">
        <f t="shared" si="1"/>
        <v>579.88</v>
      </c>
    </row>
    <row r="12" spans="1:27" ht="12.75">
      <c r="A12" s="6" t="s">
        <v>2</v>
      </c>
      <c r="B12">
        <v>320</v>
      </c>
      <c r="C12" s="3">
        <v>34.02</v>
      </c>
      <c r="D12">
        <v>320</v>
      </c>
      <c r="E12" s="6">
        <v>34.02</v>
      </c>
      <c r="F12" s="17">
        <v>320</v>
      </c>
      <c r="G12" s="6">
        <v>34.02</v>
      </c>
      <c r="H12" s="17">
        <v>320</v>
      </c>
      <c r="I12" s="6">
        <v>34.02</v>
      </c>
      <c r="J12" s="17">
        <v>160</v>
      </c>
      <c r="K12" s="6">
        <v>24.68</v>
      </c>
      <c r="L12" s="17">
        <v>320</v>
      </c>
      <c r="M12" s="6">
        <v>34.02</v>
      </c>
      <c r="N12" s="17">
        <v>480</v>
      </c>
      <c r="O12" s="6">
        <v>43.35</v>
      </c>
      <c r="P12" s="17">
        <v>160</v>
      </c>
      <c r="Q12" s="6">
        <v>24.68</v>
      </c>
      <c r="R12" s="7">
        <v>480</v>
      </c>
      <c r="S12" s="3">
        <v>41.94</v>
      </c>
      <c r="T12" s="17">
        <v>160</v>
      </c>
      <c r="U12" s="6">
        <v>23.27</v>
      </c>
      <c r="V12" s="17">
        <v>160</v>
      </c>
      <c r="W12" s="6">
        <v>24.46</v>
      </c>
      <c r="X12" s="17">
        <v>160</v>
      </c>
      <c r="Y12" s="6">
        <v>24.46</v>
      </c>
      <c r="Z12">
        <f t="shared" si="0"/>
        <v>3360</v>
      </c>
      <c r="AA12" s="18">
        <f t="shared" si="1"/>
        <v>376.93999999999994</v>
      </c>
    </row>
    <row r="13" spans="1:27" ht="12.75">
      <c r="A13" s="6" t="s">
        <v>2</v>
      </c>
      <c r="B13">
        <v>374</v>
      </c>
      <c r="C13" s="3">
        <v>48.27</v>
      </c>
      <c r="D13">
        <v>374</v>
      </c>
      <c r="E13" s="6">
        <v>48.27</v>
      </c>
      <c r="F13" s="17">
        <v>374</v>
      </c>
      <c r="G13" s="6">
        <v>48.27</v>
      </c>
      <c r="H13" s="17">
        <v>374</v>
      </c>
      <c r="I13" s="6">
        <v>48.27</v>
      </c>
      <c r="J13" s="17">
        <v>374</v>
      </c>
      <c r="K13" s="6">
        <v>48.27</v>
      </c>
      <c r="L13" s="17">
        <v>374</v>
      </c>
      <c r="M13" s="6">
        <v>48.27</v>
      </c>
      <c r="N13" s="17">
        <v>374</v>
      </c>
      <c r="O13" s="6">
        <v>48.27</v>
      </c>
      <c r="P13" s="17">
        <v>374</v>
      </c>
      <c r="Q13" s="6">
        <v>48.27</v>
      </c>
      <c r="R13" s="7">
        <v>374</v>
      </c>
      <c r="S13" s="3">
        <v>45.84</v>
      </c>
      <c r="T13" s="17">
        <v>374</v>
      </c>
      <c r="U13" s="6">
        <v>45.84</v>
      </c>
      <c r="V13" s="17">
        <v>374</v>
      </c>
      <c r="W13" s="6">
        <v>48.05</v>
      </c>
      <c r="X13" s="17">
        <v>374</v>
      </c>
      <c r="Y13" s="6">
        <v>48.05</v>
      </c>
      <c r="Z13">
        <f t="shared" si="0"/>
        <v>4488</v>
      </c>
      <c r="AA13" s="18">
        <f t="shared" si="1"/>
        <v>573.9399999999999</v>
      </c>
    </row>
    <row r="14" spans="1:27" ht="12.75">
      <c r="A14" s="6" t="s">
        <v>3</v>
      </c>
      <c r="B14">
        <v>11120</v>
      </c>
      <c r="C14" s="3">
        <v>977.46</v>
      </c>
      <c r="D14">
        <v>9400</v>
      </c>
      <c r="E14" s="6">
        <v>861.6</v>
      </c>
      <c r="F14" s="17">
        <v>8000</v>
      </c>
      <c r="G14" s="6">
        <v>767.04</v>
      </c>
      <c r="H14" s="17">
        <v>5880</v>
      </c>
      <c r="I14" s="6">
        <v>641.94</v>
      </c>
      <c r="J14" s="17">
        <v>5600</v>
      </c>
      <c r="K14" s="6">
        <v>609.6</v>
      </c>
      <c r="L14" s="17">
        <v>6720</v>
      </c>
      <c r="M14" s="6">
        <v>673.43</v>
      </c>
      <c r="N14" s="17">
        <v>6600</v>
      </c>
      <c r="O14" s="6">
        <v>686.23</v>
      </c>
      <c r="P14" s="17">
        <v>5760</v>
      </c>
      <c r="Q14" s="6">
        <v>631.68</v>
      </c>
      <c r="R14" s="7">
        <v>7920</v>
      </c>
      <c r="S14" s="3">
        <v>737.19</v>
      </c>
      <c r="T14" s="17">
        <v>11720</v>
      </c>
      <c r="U14" s="6">
        <v>1107.43</v>
      </c>
      <c r="V14" s="17">
        <v>12080</v>
      </c>
      <c r="W14" s="6">
        <v>1072.17</v>
      </c>
      <c r="X14" s="17">
        <v>12000</v>
      </c>
      <c r="Y14" s="6">
        <v>1069.93</v>
      </c>
      <c r="Z14">
        <f t="shared" si="0"/>
        <v>102800</v>
      </c>
      <c r="AA14" s="18">
        <f t="shared" si="1"/>
        <v>9835.7</v>
      </c>
    </row>
    <row r="15" spans="1:27" ht="12.75">
      <c r="A15" s="6" t="s">
        <v>34</v>
      </c>
      <c r="B15">
        <v>97440</v>
      </c>
      <c r="C15" s="3">
        <v>8541.2</v>
      </c>
      <c r="D15">
        <v>84720</v>
      </c>
      <c r="E15" s="6">
        <v>7761.82</v>
      </c>
      <c r="F15" s="17">
        <v>73680</v>
      </c>
      <c r="G15" s="6">
        <v>7196.45</v>
      </c>
      <c r="H15" s="17">
        <v>58080</v>
      </c>
      <c r="I15" s="6">
        <v>5761.35</v>
      </c>
      <c r="J15" s="17">
        <v>49440</v>
      </c>
      <c r="K15" s="6">
        <v>5191.62</v>
      </c>
      <c r="L15" s="17">
        <v>64080</v>
      </c>
      <c r="M15" s="6">
        <v>6071.4</v>
      </c>
      <c r="N15" s="17">
        <v>66480</v>
      </c>
      <c r="O15" s="6">
        <v>6244.95</v>
      </c>
      <c r="P15" s="17">
        <v>57600</v>
      </c>
      <c r="Q15" s="6">
        <v>5720.91</v>
      </c>
      <c r="R15" s="7">
        <v>73680</v>
      </c>
      <c r="S15" s="3">
        <v>6467.17</v>
      </c>
      <c r="T15" s="17">
        <v>77040</v>
      </c>
      <c r="U15" s="6">
        <v>6998.23</v>
      </c>
      <c r="V15" s="17">
        <v>62400</v>
      </c>
      <c r="W15" s="6">
        <v>5976.25</v>
      </c>
      <c r="X15" s="17">
        <v>70560</v>
      </c>
      <c r="Y15" s="6">
        <v>6395.71</v>
      </c>
      <c r="Z15">
        <f t="shared" si="0"/>
        <v>835200</v>
      </c>
      <c r="AA15" s="18">
        <f t="shared" si="1"/>
        <v>78327.06</v>
      </c>
    </row>
    <row r="16" spans="1:27" ht="12.75">
      <c r="A16" s="6" t="s">
        <v>4</v>
      </c>
      <c r="B16">
        <v>101</v>
      </c>
      <c r="C16" s="3">
        <v>40.02</v>
      </c>
      <c r="D16">
        <v>38</v>
      </c>
      <c r="E16" s="6">
        <v>31.62</v>
      </c>
      <c r="F16" s="17">
        <v>23</v>
      </c>
      <c r="G16" s="6">
        <v>30.74</v>
      </c>
      <c r="H16" s="17">
        <v>241</v>
      </c>
      <c r="I16" s="6">
        <v>48.28</v>
      </c>
      <c r="J16" s="17">
        <v>76</v>
      </c>
      <c r="K16" s="6">
        <v>38.55</v>
      </c>
      <c r="L16" s="17">
        <v>28</v>
      </c>
      <c r="M16" s="6">
        <v>35.71</v>
      </c>
      <c r="N16" s="17">
        <v>5</v>
      </c>
      <c r="O16" s="6">
        <v>30.91</v>
      </c>
      <c r="P16" s="17">
        <v>41</v>
      </c>
      <c r="Q16" s="6">
        <v>36.7</v>
      </c>
      <c r="R16" s="7">
        <v>158</v>
      </c>
      <c r="S16" s="3">
        <v>37.11</v>
      </c>
      <c r="T16" s="17">
        <v>717</v>
      </c>
      <c r="U16" s="6">
        <v>73.44</v>
      </c>
      <c r="V16" s="17">
        <v>307</v>
      </c>
      <c r="W16" s="6">
        <v>43.27</v>
      </c>
      <c r="X16" s="17">
        <v>19</v>
      </c>
      <c r="Y16" s="6">
        <v>25.03</v>
      </c>
      <c r="Z16">
        <f t="shared" si="0"/>
        <v>1754</v>
      </c>
      <c r="AA16" s="18">
        <f t="shared" si="1"/>
        <v>471.38</v>
      </c>
    </row>
    <row r="17" spans="1:27" ht="12.75">
      <c r="A17" s="6" t="s">
        <v>5</v>
      </c>
      <c r="B17">
        <v>87600</v>
      </c>
      <c r="C17" s="3">
        <v>7601.54</v>
      </c>
      <c r="D17">
        <v>73000</v>
      </c>
      <c r="E17" s="6">
        <v>6553.27</v>
      </c>
      <c r="F17" s="17">
        <v>67200</v>
      </c>
      <c r="G17" s="6">
        <v>6254.06</v>
      </c>
      <c r="H17" s="17">
        <v>54600</v>
      </c>
      <c r="I17" s="6">
        <v>5137.18</v>
      </c>
      <c r="J17" s="17">
        <v>51000</v>
      </c>
      <c r="K17" s="6">
        <v>5003.77</v>
      </c>
      <c r="L17" s="17">
        <v>62200</v>
      </c>
      <c r="M17" s="6">
        <v>5657.47</v>
      </c>
      <c r="N17" s="17">
        <v>51800</v>
      </c>
      <c r="O17" s="6">
        <v>4973.62</v>
      </c>
      <c r="P17" s="17">
        <v>53000</v>
      </c>
      <c r="Q17" s="6">
        <v>5066.79</v>
      </c>
      <c r="R17" s="7">
        <v>64000</v>
      </c>
      <c r="S17" s="3">
        <v>5574.25</v>
      </c>
      <c r="T17" s="17">
        <v>56800</v>
      </c>
      <c r="U17" s="6">
        <v>5584.95</v>
      </c>
      <c r="V17" s="17">
        <v>48400</v>
      </c>
      <c r="W17" s="6">
        <v>5306.02</v>
      </c>
      <c r="X17" s="17">
        <v>55000</v>
      </c>
      <c r="Y17" s="6">
        <v>5258</v>
      </c>
      <c r="Z17">
        <f t="shared" si="0"/>
        <v>724600</v>
      </c>
      <c r="AA17" s="18">
        <f t="shared" si="1"/>
        <v>67970.92</v>
      </c>
    </row>
    <row r="18" spans="1:27" ht="12.75">
      <c r="A18" s="6" t="s">
        <v>6</v>
      </c>
      <c r="B18">
        <v>47920</v>
      </c>
      <c r="C18" s="3">
        <v>3852.74</v>
      </c>
      <c r="D18">
        <v>42160</v>
      </c>
      <c r="E18" s="6">
        <v>3412.31</v>
      </c>
      <c r="F18" s="17">
        <v>32080</v>
      </c>
      <c r="G18" s="6">
        <v>2787.6</v>
      </c>
      <c r="H18" s="17">
        <v>15840</v>
      </c>
      <c r="I18" s="6">
        <v>1793.08</v>
      </c>
      <c r="J18" s="17">
        <v>12560</v>
      </c>
      <c r="K18" s="6">
        <v>1571.28</v>
      </c>
      <c r="L18" s="17">
        <v>27360</v>
      </c>
      <c r="M18" s="6">
        <v>2395.48</v>
      </c>
      <c r="N18" s="17">
        <v>25920</v>
      </c>
      <c r="O18" s="6">
        <v>2321.33</v>
      </c>
      <c r="P18" s="17">
        <v>15280</v>
      </c>
      <c r="Q18" s="6">
        <v>1695.9</v>
      </c>
      <c r="R18" s="7">
        <v>31520</v>
      </c>
      <c r="S18" s="3">
        <v>2634.04</v>
      </c>
      <c r="T18" s="17">
        <v>36800</v>
      </c>
      <c r="U18" s="6">
        <v>3084.91</v>
      </c>
      <c r="V18" s="17">
        <v>22480</v>
      </c>
      <c r="W18" s="6">
        <v>2208.61</v>
      </c>
      <c r="X18" s="17">
        <v>30160</v>
      </c>
      <c r="Y18" s="6">
        <v>2734.75</v>
      </c>
      <c r="Z18">
        <f t="shared" si="0"/>
        <v>340080</v>
      </c>
      <c r="AA18" s="18">
        <f t="shared" si="1"/>
        <v>30492.030000000002</v>
      </c>
    </row>
    <row r="19" spans="1:27" ht="12.75">
      <c r="A19" s="6" t="s">
        <v>7</v>
      </c>
      <c r="B19">
        <v>283</v>
      </c>
      <c r="C19" s="3">
        <v>56.9</v>
      </c>
      <c r="D19">
        <v>953</v>
      </c>
      <c r="E19" s="6">
        <v>162.09</v>
      </c>
      <c r="F19" s="17">
        <v>965</v>
      </c>
      <c r="G19" s="6">
        <v>191.52</v>
      </c>
      <c r="H19" s="17">
        <v>1946</v>
      </c>
      <c r="I19" s="6">
        <v>249.41</v>
      </c>
      <c r="J19" s="17">
        <v>3197</v>
      </c>
      <c r="K19" s="6">
        <v>330.42</v>
      </c>
      <c r="L19" s="17">
        <v>3070</v>
      </c>
      <c r="M19" s="6">
        <v>301.39</v>
      </c>
      <c r="N19" s="17">
        <v>1400</v>
      </c>
      <c r="O19" s="6">
        <v>226.28</v>
      </c>
      <c r="P19" s="17">
        <v>650</v>
      </c>
      <c r="Q19" s="6">
        <v>146.55</v>
      </c>
      <c r="R19" s="7">
        <v>769</v>
      </c>
      <c r="S19" s="3">
        <v>143.62</v>
      </c>
      <c r="T19" s="17">
        <v>1768</v>
      </c>
      <c r="U19" s="6">
        <v>202.58</v>
      </c>
      <c r="V19" s="17">
        <v>388</v>
      </c>
      <c r="W19" s="6">
        <v>124.37</v>
      </c>
      <c r="X19" s="17">
        <v>314</v>
      </c>
      <c r="Y19" s="6">
        <v>121.26</v>
      </c>
      <c r="Z19">
        <f t="shared" si="0"/>
        <v>15703</v>
      </c>
      <c r="AA19" s="18">
        <f t="shared" si="1"/>
        <v>2256.39</v>
      </c>
    </row>
    <row r="20" spans="1:27" ht="12.75">
      <c r="A20" s="6" t="s">
        <v>8</v>
      </c>
      <c r="B20">
        <v>0</v>
      </c>
      <c r="C20" s="3">
        <v>3.92</v>
      </c>
      <c r="D20">
        <v>0</v>
      </c>
      <c r="E20" s="6">
        <v>3.92</v>
      </c>
      <c r="F20" s="17">
        <v>0</v>
      </c>
      <c r="G20" s="6">
        <v>3.92</v>
      </c>
      <c r="H20" s="17">
        <v>0</v>
      </c>
      <c r="I20" s="6">
        <v>3.92</v>
      </c>
      <c r="J20" s="17">
        <v>0</v>
      </c>
      <c r="K20" s="6">
        <v>3.92</v>
      </c>
      <c r="L20" s="17">
        <v>0</v>
      </c>
      <c r="M20" s="6">
        <v>3.92</v>
      </c>
      <c r="N20" s="17">
        <v>0</v>
      </c>
      <c r="O20" s="6">
        <v>3.92</v>
      </c>
      <c r="P20" s="17">
        <v>820</v>
      </c>
      <c r="Q20" s="6">
        <v>82.93</v>
      </c>
      <c r="R20" s="7">
        <v>0</v>
      </c>
      <c r="S20" s="3">
        <v>-75.45</v>
      </c>
      <c r="T20" s="17">
        <v>0</v>
      </c>
      <c r="U20" s="6">
        <v>0</v>
      </c>
      <c r="V20" s="17">
        <v>0</v>
      </c>
      <c r="W20" s="6">
        <v>7</v>
      </c>
      <c r="X20" s="17">
        <v>0</v>
      </c>
      <c r="Y20" s="6">
        <v>3.44</v>
      </c>
      <c r="Z20">
        <f t="shared" si="0"/>
        <v>820</v>
      </c>
      <c r="AA20" s="18">
        <f t="shared" si="1"/>
        <v>45.36</v>
      </c>
    </row>
    <row r="21" spans="1:27" ht="12.75">
      <c r="A21" s="6" t="s">
        <v>9</v>
      </c>
      <c r="B21">
        <v>2338</v>
      </c>
      <c r="C21" s="3">
        <v>254.96</v>
      </c>
      <c r="D21">
        <v>2121</v>
      </c>
      <c r="E21" s="6">
        <v>252.56</v>
      </c>
      <c r="F21" s="17">
        <v>2929</v>
      </c>
      <c r="G21" s="6">
        <v>300.25</v>
      </c>
      <c r="H21" s="17">
        <v>3034</v>
      </c>
      <c r="I21" s="6">
        <v>301.67</v>
      </c>
      <c r="J21" s="17">
        <v>2436</v>
      </c>
      <c r="K21" s="6">
        <v>265.25</v>
      </c>
      <c r="L21" s="17">
        <v>2414</v>
      </c>
      <c r="M21" s="6">
        <v>256.86</v>
      </c>
      <c r="N21" s="17">
        <v>2161</v>
      </c>
      <c r="O21" s="6">
        <v>241.93</v>
      </c>
      <c r="P21" s="17">
        <v>1963</v>
      </c>
      <c r="Q21" s="6">
        <v>229</v>
      </c>
      <c r="R21" s="7">
        <v>2267</v>
      </c>
      <c r="S21" s="3">
        <v>230.09</v>
      </c>
      <c r="T21" s="17">
        <v>2892</v>
      </c>
      <c r="U21" s="6">
        <v>268.12</v>
      </c>
      <c r="V21" s="17">
        <v>2104</v>
      </c>
      <c r="W21" s="6">
        <v>222.18</v>
      </c>
      <c r="X21" s="17">
        <v>2506</v>
      </c>
      <c r="Y21" s="6">
        <v>247.14</v>
      </c>
      <c r="Z21">
        <f t="shared" si="0"/>
        <v>29165</v>
      </c>
      <c r="AA21" s="18">
        <f t="shared" si="1"/>
        <v>3070.01</v>
      </c>
    </row>
    <row r="22" spans="1:27" ht="12.75">
      <c r="A22" s="6" t="s">
        <v>10</v>
      </c>
      <c r="B22">
        <v>14570</v>
      </c>
      <c r="C22" s="3">
        <v>1123.63</v>
      </c>
      <c r="D22">
        <v>12800</v>
      </c>
      <c r="E22" s="6">
        <v>983.28</v>
      </c>
      <c r="F22" s="17">
        <v>11710</v>
      </c>
      <c r="G22" s="6">
        <v>926.14</v>
      </c>
      <c r="H22" s="17">
        <v>9960</v>
      </c>
      <c r="I22" s="6">
        <v>822.86</v>
      </c>
      <c r="J22" s="17">
        <v>10120</v>
      </c>
      <c r="K22" s="6">
        <v>825.12</v>
      </c>
      <c r="L22" s="17">
        <v>11310</v>
      </c>
      <c r="M22" s="6">
        <v>895.35</v>
      </c>
      <c r="N22" s="17">
        <v>11390</v>
      </c>
      <c r="O22" s="6">
        <v>889.96</v>
      </c>
      <c r="P22" s="17">
        <v>10460</v>
      </c>
      <c r="Q22" s="6">
        <v>841.17</v>
      </c>
      <c r="R22" s="7">
        <v>11920</v>
      </c>
      <c r="S22" s="3">
        <v>940.18</v>
      </c>
      <c r="T22" s="17">
        <v>14950</v>
      </c>
      <c r="U22" s="6">
        <v>1125.62</v>
      </c>
      <c r="V22" s="17">
        <v>14410</v>
      </c>
      <c r="W22" s="6">
        <v>1119.84</v>
      </c>
      <c r="X22" s="17">
        <v>13230</v>
      </c>
      <c r="Y22" s="6">
        <v>1013.74</v>
      </c>
      <c r="Z22">
        <f t="shared" si="0"/>
        <v>146830</v>
      </c>
      <c r="AA22" s="18">
        <f t="shared" si="1"/>
        <v>11506.890000000001</v>
      </c>
    </row>
    <row r="23" spans="1:27" ht="12.75">
      <c r="A23" s="6" t="s">
        <v>11</v>
      </c>
      <c r="B23">
        <v>1080</v>
      </c>
      <c r="C23" s="3">
        <v>1344.4</v>
      </c>
      <c r="D23">
        <v>3160</v>
      </c>
      <c r="E23" s="6">
        <v>1543.94</v>
      </c>
      <c r="F23" s="17">
        <v>2920</v>
      </c>
      <c r="G23" s="6">
        <v>1541.71</v>
      </c>
      <c r="H23" s="17">
        <v>720</v>
      </c>
      <c r="I23" s="6">
        <v>1193.3</v>
      </c>
      <c r="J23" s="17">
        <v>920</v>
      </c>
      <c r="K23" s="6">
        <v>1205.1</v>
      </c>
      <c r="L23" s="17">
        <v>1080</v>
      </c>
      <c r="M23" s="6">
        <v>1267.62</v>
      </c>
      <c r="N23" s="17">
        <v>4360</v>
      </c>
      <c r="O23" s="6">
        <v>1647.89</v>
      </c>
      <c r="P23" s="17">
        <v>4800</v>
      </c>
      <c r="Q23" s="6">
        <v>1659.28</v>
      </c>
      <c r="R23" s="7">
        <v>4560</v>
      </c>
      <c r="S23" s="3">
        <v>1460.83</v>
      </c>
      <c r="T23" s="17">
        <v>4960</v>
      </c>
      <c r="U23" s="6">
        <v>1623.71</v>
      </c>
      <c r="V23" s="17">
        <v>3240</v>
      </c>
      <c r="W23" s="6">
        <v>1627.38</v>
      </c>
      <c r="X23" s="17">
        <v>2400</v>
      </c>
      <c r="Y23" s="6">
        <v>1202.36</v>
      </c>
      <c r="Z23">
        <f t="shared" si="0"/>
        <v>34200</v>
      </c>
      <c r="AA23" s="18">
        <f t="shared" si="1"/>
        <v>17317.520000000004</v>
      </c>
    </row>
    <row r="24" spans="1:27" ht="12.75">
      <c r="A24" s="6" t="s">
        <v>12</v>
      </c>
      <c r="B24">
        <v>100000</v>
      </c>
      <c r="C24" s="3">
        <v>9405.85</v>
      </c>
      <c r="D24">
        <v>80600</v>
      </c>
      <c r="E24" s="6">
        <v>8263.24</v>
      </c>
      <c r="F24" s="17">
        <v>66800</v>
      </c>
      <c r="G24" s="6">
        <v>7399.16</v>
      </c>
      <c r="H24" s="17">
        <v>65400</v>
      </c>
      <c r="I24" s="6">
        <v>7429.45</v>
      </c>
      <c r="J24" s="17">
        <v>73800</v>
      </c>
      <c r="K24" s="6">
        <v>8352.21</v>
      </c>
      <c r="L24" s="17">
        <v>85600</v>
      </c>
      <c r="M24" s="6">
        <v>9192.15</v>
      </c>
      <c r="N24" s="17">
        <v>65400</v>
      </c>
      <c r="O24" s="6">
        <v>7169.06</v>
      </c>
      <c r="P24" s="17">
        <v>56400</v>
      </c>
      <c r="Q24" s="6">
        <v>6640.43</v>
      </c>
      <c r="R24" s="7">
        <v>63400</v>
      </c>
      <c r="S24" s="3">
        <v>6604.68</v>
      </c>
      <c r="T24" s="17">
        <v>66000</v>
      </c>
      <c r="U24" s="6">
        <v>6801.52</v>
      </c>
      <c r="V24" s="17">
        <v>53400</v>
      </c>
      <c r="W24" s="6">
        <v>6207.03</v>
      </c>
      <c r="X24" s="17">
        <v>50000</v>
      </c>
      <c r="Y24" s="6">
        <v>6026.26</v>
      </c>
      <c r="Z24">
        <f t="shared" si="0"/>
        <v>826800</v>
      </c>
      <c r="AA24" s="18">
        <f t="shared" si="1"/>
        <v>89491.04000000001</v>
      </c>
    </row>
    <row r="25" spans="1:27" ht="12.75">
      <c r="A25" s="6" t="s">
        <v>13</v>
      </c>
      <c r="B25">
        <v>4253</v>
      </c>
      <c r="C25" s="3">
        <v>701.44</v>
      </c>
      <c r="D25">
        <v>1717</v>
      </c>
      <c r="E25" s="6">
        <v>521.12</v>
      </c>
      <c r="F25" s="17">
        <v>1336</v>
      </c>
      <c r="G25" s="6">
        <v>478.31</v>
      </c>
      <c r="H25">
        <v>442</v>
      </c>
      <c r="I25" s="6">
        <v>412.01</v>
      </c>
      <c r="J25" s="17">
        <v>580</v>
      </c>
      <c r="K25" s="6">
        <v>431.45</v>
      </c>
      <c r="L25" s="17">
        <v>1219</v>
      </c>
      <c r="M25" s="6">
        <v>482.71</v>
      </c>
      <c r="N25" s="17">
        <v>1788</v>
      </c>
      <c r="O25" s="6">
        <v>519.78</v>
      </c>
      <c r="P25" s="17">
        <v>1482</v>
      </c>
      <c r="Q25" s="6">
        <v>502.96</v>
      </c>
      <c r="R25" s="7">
        <v>4512</v>
      </c>
      <c r="S25" s="3">
        <v>748.38</v>
      </c>
      <c r="T25" s="17">
        <v>4521</v>
      </c>
      <c r="U25" s="6">
        <v>715.76</v>
      </c>
      <c r="V25" s="17">
        <v>8028</v>
      </c>
      <c r="W25" s="6">
        <v>925.51</v>
      </c>
      <c r="X25" s="17">
        <v>5572</v>
      </c>
      <c r="Y25" s="6">
        <v>795.15</v>
      </c>
      <c r="Z25">
        <f t="shared" si="0"/>
        <v>35450</v>
      </c>
      <c r="AA25" s="18">
        <f t="shared" si="1"/>
        <v>7234.58</v>
      </c>
    </row>
    <row r="26" spans="1:27" ht="12.75">
      <c r="A26" s="6" t="s">
        <v>14</v>
      </c>
      <c r="B26">
        <v>78800</v>
      </c>
      <c r="C26" s="3">
        <v>6379.46</v>
      </c>
      <c r="D26">
        <v>80000</v>
      </c>
      <c r="E26" s="6">
        <v>6549.98</v>
      </c>
      <c r="F26" s="17">
        <v>50400</v>
      </c>
      <c r="G26" s="6">
        <v>4613.12</v>
      </c>
      <c r="H26" s="17">
        <v>36800</v>
      </c>
      <c r="I26" s="6">
        <v>3864.74</v>
      </c>
      <c r="J26" s="17">
        <v>35200</v>
      </c>
      <c r="K26" s="6">
        <v>3747.73</v>
      </c>
      <c r="L26" s="17">
        <v>48000</v>
      </c>
      <c r="M26" s="6">
        <v>4516.66</v>
      </c>
      <c r="N26" s="17">
        <v>63600</v>
      </c>
      <c r="O26" s="6">
        <v>5503.19</v>
      </c>
      <c r="P26" s="17">
        <v>60000</v>
      </c>
      <c r="Q26" s="6">
        <v>5275.84</v>
      </c>
      <c r="R26" s="7">
        <v>45200</v>
      </c>
      <c r="S26" s="3">
        <v>4213.02</v>
      </c>
      <c r="T26" s="17">
        <v>64800</v>
      </c>
      <c r="U26" s="6">
        <v>5645.88</v>
      </c>
      <c r="V26" s="17">
        <v>12800</v>
      </c>
      <c r="W26" s="6">
        <v>2279.84</v>
      </c>
      <c r="X26" s="17">
        <v>69200</v>
      </c>
      <c r="Y26" s="6">
        <v>5789.74</v>
      </c>
      <c r="Z26">
        <f t="shared" si="0"/>
        <v>644800</v>
      </c>
      <c r="AA26" s="18">
        <f t="shared" si="1"/>
        <v>58379.200000000004</v>
      </c>
    </row>
    <row r="27" spans="1:27" ht="12.75">
      <c r="A27" s="6" t="s">
        <v>15</v>
      </c>
      <c r="B27">
        <v>600</v>
      </c>
      <c r="C27" s="3">
        <v>61.37</v>
      </c>
      <c r="D27">
        <v>1421</v>
      </c>
      <c r="E27" s="6">
        <v>139.97</v>
      </c>
      <c r="F27" s="17">
        <v>1838</v>
      </c>
      <c r="G27" s="6">
        <v>179.91</v>
      </c>
      <c r="H27" s="17">
        <v>4214</v>
      </c>
      <c r="I27" s="6">
        <v>407.4</v>
      </c>
      <c r="J27" s="17">
        <v>4583</v>
      </c>
      <c r="K27" s="6">
        <v>442.72</v>
      </c>
      <c r="L27" s="17">
        <v>2939</v>
      </c>
      <c r="M27" s="6">
        <v>285.31</v>
      </c>
      <c r="N27" s="17">
        <v>1100</v>
      </c>
      <c r="O27" s="6">
        <v>109.9</v>
      </c>
      <c r="P27" s="17">
        <v>206</v>
      </c>
      <c r="Q27" s="6">
        <v>23.76</v>
      </c>
      <c r="R27" s="7">
        <v>685</v>
      </c>
      <c r="S27" s="3">
        <v>67.24</v>
      </c>
      <c r="T27" s="17">
        <v>400</v>
      </c>
      <c r="U27" s="6">
        <v>40.74</v>
      </c>
      <c r="V27" s="17">
        <v>563</v>
      </c>
      <c r="W27" s="6">
        <v>57.68</v>
      </c>
      <c r="X27" s="17">
        <v>681</v>
      </c>
      <c r="Y27" s="6">
        <v>69.05</v>
      </c>
      <c r="Z27">
        <f t="shared" si="0"/>
        <v>19230</v>
      </c>
      <c r="AA27" s="18">
        <f t="shared" si="1"/>
        <v>1885.05</v>
      </c>
    </row>
    <row r="28" spans="1:27" ht="12.75">
      <c r="A28" s="6" t="s">
        <v>15</v>
      </c>
      <c r="B28">
        <v>50</v>
      </c>
      <c r="C28" s="3">
        <v>11.65</v>
      </c>
      <c r="D28">
        <v>50</v>
      </c>
      <c r="E28" s="6">
        <v>11.65</v>
      </c>
      <c r="F28" s="17">
        <v>50</v>
      </c>
      <c r="G28" s="6">
        <v>11.65</v>
      </c>
      <c r="H28" s="17">
        <v>50</v>
      </c>
      <c r="I28" s="6">
        <v>11.65</v>
      </c>
      <c r="J28" s="17">
        <v>50</v>
      </c>
      <c r="K28" s="6">
        <v>11.65</v>
      </c>
      <c r="L28" s="17">
        <v>50</v>
      </c>
      <c r="M28" s="6">
        <v>11.65</v>
      </c>
      <c r="N28" s="17">
        <v>50</v>
      </c>
      <c r="O28" s="6">
        <v>11.65</v>
      </c>
      <c r="P28" s="17">
        <v>50</v>
      </c>
      <c r="Q28" s="6">
        <v>11.65</v>
      </c>
      <c r="R28" s="7">
        <v>50</v>
      </c>
      <c r="S28" s="3">
        <v>10.84</v>
      </c>
      <c r="T28" s="17">
        <v>50</v>
      </c>
      <c r="U28" s="6">
        <v>10.84</v>
      </c>
      <c r="V28" s="17">
        <v>50</v>
      </c>
      <c r="W28" s="6">
        <v>11.43</v>
      </c>
      <c r="X28" s="17">
        <v>50</v>
      </c>
      <c r="Y28" s="6">
        <v>11.43</v>
      </c>
      <c r="Z28">
        <f t="shared" si="0"/>
        <v>600</v>
      </c>
      <c r="AA28" s="18">
        <f t="shared" si="1"/>
        <v>137.74000000000004</v>
      </c>
    </row>
    <row r="29" spans="1:27" ht="12.75">
      <c r="A29" s="6" t="s">
        <v>16</v>
      </c>
      <c r="B29">
        <v>576</v>
      </c>
      <c r="C29" s="3">
        <v>58.55</v>
      </c>
      <c r="D29">
        <v>951</v>
      </c>
      <c r="E29" s="6">
        <v>96.66</v>
      </c>
      <c r="F29" s="17">
        <v>430</v>
      </c>
      <c r="G29" s="6">
        <v>43.7</v>
      </c>
      <c r="H29" s="17">
        <v>159</v>
      </c>
      <c r="I29" s="6">
        <v>16.16</v>
      </c>
      <c r="J29" s="17">
        <v>215</v>
      </c>
      <c r="K29" s="6">
        <v>21.85</v>
      </c>
      <c r="L29" s="17">
        <v>259</v>
      </c>
      <c r="M29" s="6">
        <v>26.33</v>
      </c>
      <c r="N29" s="17">
        <v>1702</v>
      </c>
      <c r="O29" s="6">
        <v>172.99</v>
      </c>
      <c r="P29" s="17">
        <v>2810</v>
      </c>
      <c r="Q29" s="6">
        <v>285.61</v>
      </c>
      <c r="R29" s="7">
        <v>1153</v>
      </c>
      <c r="S29" s="3">
        <v>112.62</v>
      </c>
      <c r="T29" s="17">
        <v>981</v>
      </c>
      <c r="U29" s="6">
        <v>95.82</v>
      </c>
      <c r="V29" s="17">
        <v>1465</v>
      </c>
      <c r="W29" s="6">
        <v>147.57</v>
      </c>
      <c r="X29" s="17">
        <v>926</v>
      </c>
      <c r="Y29" s="6">
        <v>93.27</v>
      </c>
      <c r="Z29">
        <f t="shared" si="0"/>
        <v>11627</v>
      </c>
      <c r="AA29" s="18">
        <f t="shared" si="1"/>
        <v>1171.1299999999999</v>
      </c>
    </row>
    <row r="30" spans="1:27" ht="12.75">
      <c r="A30" s="6" t="s">
        <v>17</v>
      </c>
      <c r="B30">
        <v>12840</v>
      </c>
      <c r="C30" s="3">
        <v>1078.97</v>
      </c>
      <c r="D30">
        <v>11600</v>
      </c>
      <c r="E30" s="6">
        <v>1005.8</v>
      </c>
      <c r="F30" s="17">
        <v>10120</v>
      </c>
      <c r="G30" s="6">
        <v>904.09</v>
      </c>
      <c r="H30" s="17">
        <v>5600</v>
      </c>
      <c r="I30" s="6">
        <v>615.81</v>
      </c>
      <c r="J30" s="17">
        <v>4400</v>
      </c>
      <c r="K30" s="6">
        <v>566.53</v>
      </c>
      <c r="L30" s="17">
        <v>5920</v>
      </c>
      <c r="M30" s="6">
        <v>605.73</v>
      </c>
      <c r="N30" s="17">
        <v>5400</v>
      </c>
      <c r="O30" s="6">
        <v>577.41</v>
      </c>
      <c r="P30" s="17">
        <v>5520</v>
      </c>
      <c r="Q30" s="6">
        <v>599.41</v>
      </c>
      <c r="R30" s="7">
        <v>10400</v>
      </c>
      <c r="S30" s="3">
        <v>876.99</v>
      </c>
      <c r="T30" s="17">
        <v>12360</v>
      </c>
      <c r="U30" s="6">
        <v>979.36</v>
      </c>
      <c r="V30" s="17">
        <v>10560</v>
      </c>
      <c r="W30" s="6">
        <v>893.85</v>
      </c>
      <c r="X30" s="17">
        <v>12720</v>
      </c>
      <c r="Y30" s="6">
        <v>1007.91</v>
      </c>
      <c r="Z30">
        <f t="shared" si="0"/>
        <v>107440</v>
      </c>
      <c r="AA30" s="18">
        <f t="shared" si="1"/>
        <v>9711.859999999999</v>
      </c>
    </row>
    <row r="31" spans="1:27" ht="12.75">
      <c r="A31" s="6" t="s">
        <v>18</v>
      </c>
      <c r="B31">
        <v>4001</v>
      </c>
      <c r="C31" s="3">
        <v>363.51</v>
      </c>
      <c r="D31">
        <v>3734</v>
      </c>
      <c r="E31" s="6">
        <v>340.73</v>
      </c>
      <c r="F31" s="17">
        <v>3144</v>
      </c>
      <c r="G31" s="6">
        <v>308.17</v>
      </c>
      <c r="H31" s="17">
        <v>3231</v>
      </c>
      <c r="I31" s="6">
        <v>313.3</v>
      </c>
      <c r="J31" s="17">
        <v>2736</v>
      </c>
      <c r="K31" s="6">
        <v>288.85</v>
      </c>
      <c r="L31" s="17">
        <v>3341</v>
      </c>
      <c r="M31" s="6">
        <v>319.8</v>
      </c>
      <c r="N31" s="17">
        <v>2775</v>
      </c>
      <c r="O31" s="6">
        <v>278.26</v>
      </c>
      <c r="P31" s="17">
        <v>2792</v>
      </c>
      <c r="Q31" s="6">
        <v>293.85</v>
      </c>
      <c r="R31" s="7">
        <v>3174</v>
      </c>
      <c r="S31" s="3">
        <v>284.76</v>
      </c>
      <c r="T31" s="17">
        <v>4096</v>
      </c>
      <c r="U31" s="6">
        <v>352.44</v>
      </c>
      <c r="V31" s="17">
        <v>3722</v>
      </c>
      <c r="W31" s="6">
        <v>321.38</v>
      </c>
      <c r="X31" s="17">
        <v>3160</v>
      </c>
      <c r="Y31" s="6">
        <v>295.52</v>
      </c>
      <c r="Z31">
        <f t="shared" si="0"/>
        <v>39906</v>
      </c>
      <c r="AA31" s="18">
        <f t="shared" si="1"/>
        <v>3760.5699999999997</v>
      </c>
    </row>
    <row r="32" spans="1:27" ht="12.75">
      <c r="A32" s="6" t="s">
        <v>19</v>
      </c>
      <c r="B32">
        <v>18440</v>
      </c>
      <c r="C32" s="3">
        <v>1545.85</v>
      </c>
      <c r="D32">
        <v>14880</v>
      </c>
      <c r="E32" s="6">
        <v>1350.12</v>
      </c>
      <c r="F32" s="17">
        <v>12640</v>
      </c>
      <c r="G32" s="6">
        <v>1217.93</v>
      </c>
      <c r="H32" s="17">
        <v>23720</v>
      </c>
      <c r="I32" s="6">
        <v>1762.82</v>
      </c>
      <c r="J32" s="17">
        <v>2320</v>
      </c>
      <c r="K32" s="6">
        <v>516.87</v>
      </c>
      <c r="L32" s="17">
        <v>3560</v>
      </c>
      <c r="M32" s="6">
        <v>583.27</v>
      </c>
      <c r="N32" s="17">
        <v>9680</v>
      </c>
      <c r="O32" s="6">
        <v>945.55</v>
      </c>
      <c r="P32" s="17">
        <v>7360</v>
      </c>
      <c r="Q32" s="6">
        <v>809.88</v>
      </c>
      <c r="R32" s="7">
        <v>10200</v>
      </c>
      <c r="S32" s="3">
        <v>950.18</v>
      </c>
      <c r="T32" s="17">
        <v>11960</v>
      </c>
      <c r="U32" s="6">
        <v>1051.77</v>
      </c>
      <c r="V32" s="17">
        <v>9840</v>
      </c>
      <c r="W32" s="6">
        <v>945.8</v>
      </c>
      <c r="X32" s="17">
        <v>9360</v>
      </c>
      <c r="Y32" s="6">
        <v>912.51</v>
      </c>
      <c r="Z32">
        <f t="shared" si="0"/>
        <v>133960</v>
      </c>
      <c r="AA32" s="18">
        <f t="shared" si="1"/>
        <v>12592.55</v>
      </c>
    </row>
    <row r="33" spans="1:27" ht="12.75">
      <c r="A33" s="6" t="s">
        <v>20</v>
      </c>
      <c r="B33">
        <v>800</v>
      </c>
      <c r="C33" s="3">
        <v>282.13</v>
      </c>
      <c r="D33">
        <v>720</v>
      </c>
      <c r="E33" s="6">
        <v>295.48</v>
      </c>
      <c r="F33" s="17">
        <v>760</v>
      </c>
      <c r="G33" s="6">
        <v>297.84</v>
      </c>
      <c r="H33" s="17">
        <v>640</v>
      </c>
      <c r="I33" s="6">
        <v>272.69</v>
      </c>
      <c r="J33" s="17">
        <v>720</v>
      </c>
      <c r="K33" s="6">
        <v>277.41</v>
      </c>
      <c r="L33" s="17">
        <v>560</v>
      </c>
      <c r="M33" s="6">
        <v>267.97</v>
      </c>
      <c r="N33" s="17">
        <v>720</v>
      </c>
      <c r="O33" s="6">
        <v>318.62</v>
      </c>
      <c r="P33" s="17">
        <v>1000</v>
      </c>
      <c r="Q33" s="6">
        <v>306.96</v>
      </c>
      <c r="R33" s="7">
        <v>1400</v>
      </c>
      <c r="S33" s="3">
        <v>307.97</v>
      </c>
      <c r="T33" s="17">
        <v>1400</v>
      </c>
      <c r="U33" s="6">
        <v>309.11</v>
      </c>
      <c r="V33" s="17">
        <v>1400</v>
      </c>
      <c r="W33" s="6">
        <v>388.53</v>
      </c>
      <c r="X33" s="17">
        <v>600</v>
      </c>
      <c r="Y33" s="6">
        <v>265.6</v>
      </c>
      <c r="Z33">
        <f t="shared" si="0"/>
        <v>10720</v>
      </c>
      <c r="AA33" s="18">
        <f t="shared" si="1"/>
        <v>3590.310000000001</v>
      </c>
    </row>
    <row r="34" spans="1:27" s="9" customFormat="1" ht="12.75">
      <c r="A34" s="8" t="s">
        <v>21</v>
      </c>
      <c r="B34" s="9">
        <v>1796</v>
      </c>
      <c r="C34" s="10">
        <v>218.12</v>
      </c>
      <c r="D34" s="9">
        <v>1484</v>
      </c>
      <c r="E34" s="8">
        <v>199.72</v>
      </c>
      <c r="F34" s="9">
        <v>1195</v>
      </c>
      <c r="G34" s="8">
        <v>219.45</v>
      </c>
      <c r="H34" s="9">
        <v>1364</v>
      </c>
      <c r="I34" s="8">
        <v>201.99</v>
      </c>
      <c r="J34" s="9">
        <v>2923</v>
      </c>
      <c r="K34" s="8">
        <v>299.89</v>
      </c>
      <c r="L34" s="9">
        <v>3063</v>
      </c>
      <c r="M34" s="8">
        <v>308.15</v>
      </c>
      <c r="N34" s="9">
        <v>1549</v>
      </c>
      <c r="O34" s="8">
        <v>214.38</v>
      </c>
      <c r="P34" s="9">
        <v>780</v>
      </c>
      <c r="Q34" s="8">
        <v>167.75</v>
      </c>
      <c r="R34" s="23">
        <v>566</v>
      </c>
      <c r="S34" s="10">
        <v>144.03</v>
      </c>
      <c r="T34" s="9">
        <v>956</v>
      </c>
      <c r="U34" s="8">
        <v>165.91</v>
      </c>
      <c r="V34" s="9">
        <v>197</v>
      </c>
      <c r="W34" s="8">
        <v>120.43</v>
      </c>
      <c r="X34" s="9">
        <v>565</v>
      </c>
      <c r="Y34" s="8">
        <v>144.63</v>
      </c>
      <c r="Z34">
        <f t="shared" si="0"/>
        <v>16438</v>
      </c>
      <c r="AA34" s="18">
        <f t="shared" si="1"/>
        <v>2404.4500000000003</v>
      </c>
    </row>
    <row r="36" spans="1:27" s="9" customFormat="1" ht="12.75">
      <c r="A36" s="8"/>
      <c r="B36" s="9">
        <f>SUM(B6:B35)</f>
        <v>658700</v>
      </c>
      <c r="C36" s="10">
        <f>SUM(C6:C35)</f>
        <v>59560.47000000001</v>
      </c>
      <c r="D36" s="9">
        <f>SUM(D7:D35)</f>
        <v>574992</v>
      </c>
      <c r="E36" s="8">
        <f aca="true" t="shared" si="2" ref="E36:O36">SUM(E6:E35)</f>
        <v>54322.96000000002</v>
      </c>
      <c r="F36" s="9">
        <f t="shared" si="2"/>
        <v>478743</v>
      </c>
      <c r="G36" s="8">
        <f t="shared" si="2"/>
        <v>48224.02999999999</v>
      </c>
      <c r="H36" s="9">
        <f t="shared" si="2"/>
        <v>392124</v>
      </c>
      <c r="I36" s="8">
        <f t="shared" si="2"/>
        <v>41638.37</v>
      </c>
      <c r="J36" s="9">
        <f t="shared" si="2"/>
        <v>360999</v>
      </c>
      <c r="K36" s="8">
        <f t="shared" si="2"/>
        <v>40123.27</v>
      </c>
      <c r="L36" s="9">
        <f t="shared" si="2"/>
        <v>451137</v>
      </c>
      <c r="M36" s="8">
        <f t="shared" si="2"/>
        <v>45297.61</v>
      </c>
      <c r="N36" s="9">
        <f t="shared" si="2"/>
        <v>440812</v>
      </c>
      <c r="O36" s="8">
        <f t="shared" si="2"/>
        <v>44384.560000000005</v>
      </c>
      <c r="P36" s="9">
        <f>SUM(P6:P35)</f>
        <v>380098</v>
      </c>
      <c r="Q36" s="8">
        <f>SUM(Q6:Q35)</f>
        <v>41051.9</v>
      </c>
      <c r="R36" s="23">
        <f>SUM(R6:R34)</f>
        <v>458460</v>
      </c>
      <c r="S36" s="10">
        <f>SUM(S6:S34)</f>
        <v>43904.579999999994</v>
      </c>
      <c r="T36" s="9">
        <f>SUM(T6:T33)</f>
        <v>507869</v>
      </c>
      <c r="U36" s="8">
        <f>SUM(U6:U34)</f>
        <v>48605.84</v>
      </c>
      <c r="V36" s="9">
        <f>SUM(V6:V34)</f>
        <v>367952</v>
      </c>
      <c r="W36" s="8">
        <f>SUM(W6:W34)</f>
        <v>40043.600000000006</v>
      </c>
      <c r="X36" s="9">
        <f>SUM(X6:X34)</f>
        <v>461931</v>
      </c>
      <c r="Y36" s="8">
        <f>SUM(Y6:Y34)</f>
        <v>45102.159999999996</v>
      </c>
      <c r="Z36">
        <f>B36+D36+F36+H36+J36+L36+N36+P36+R36+T36+V36+X36</f>
        <v>5533817</v>
      </c>
      <c r="AA36" s="18">
        <f>C36+E36+G36+I36+K36+M36+O36+Q36+S36+U36+W36+Y36</f>
        <v>552259.3500000001</v>
      </c>
    </row>
  </sheetData>
  <sheetProtection/>
  <printOptions gridLines="1"/>
  <pageMargins left="0" right="0" top="1" bottom="1" header="0.5" footer="0.5"/>
  <pageSetup horizontalDpi="600" verticalDpi="600" orientation="landscape" paperSize="5" scale="70" r:id="rId1"/>
  <headerFooter alignWithMargins="0">
    <oddHeader>&amp;CGlen Rose ISD
Electricty Usage
FY 2004-2005</oddHeader>
  </headerFooter>
</worksheet>
</file>

<file path=xl/worksheets/sheet10.xml><?xml version="1.0" encoding="utf-8"?>
<worksheet xmlns="http://schemas.openxmlformats.org/spreadsheetml/2006/main" xmlns:r="http://schemas.openxmlformats.org/officeDocument/2006/relationships">
  <dimension ref="A1:AG63815"/>
  <sheetViews>
    <sheetView showGridLines="0" zoomScale="80" zoomScaleNormal="80" zoomScalePageLayoutView="0" workbookViewId="0" topLeftCell="A1">
      <pane xSplit="5" ySplit="2" topLeftCell="N3" activePane="bottomRight" state="frozen"/>
      <selection pane="topLeft" activeCell="A1" sqref="A1"/>
      <selection pane="topRight" activeCell="F1" sqref="F1"/>
      <selection pane="bottomLeft" activeCell="A3" sqref="A3"/>
      <selection pane="bottomRight" activeCell="S25" sqref="S25"/>
    </sheetView>
  </sheetViews>
  <sheetFormatPr defaultColWidth="9.140625" defaultRowHeight="12.75"/>
  <cols>
    <col min="1" max="1" width="20.00390625" style="6" customWidth="1"/>
    <col min="2" max="2" width="20.00390625" style="50" customWidth="1"/>
    <col min="3" max="3" width="26.421875" style="38" customWidth="1"/>
    <col min="4" max="4" width="12.28125" style="0" bestFit="1" customWidth="1"/>
    <col min="5" max="5" width="12.28125" style="3" bestFit="1" customWidth="1"/>
    <col min="6" max="6" width="12.28125" style="0" customWidth="1"/>
    <col min="7" max="7" width="12.28125" style="6" customWidth="1"/>
    <col min="8" max="8" width="12.28125" style="0" customWidth="1"/>
    <col min="9" max="9" width="12.28125" style="6" customWidth="1"/>
    <col min="10" max="10" width="12.28125" style="0" customWidth="1"/>
    <col min="11" max="11" width="13.7109375" style="6" customWidth="1"/>
    <col min="12" max="12" width="12.28125" style="0" customWidth="1"/>
    <col min="13" max="13" width="12.28125" style="6" customWidth="1"/>
    <col min="14" max="14" width="12.28125" style="0" bestFit="1" customWidth="1"/>
    <col min="15" max="15" width="11.28125" style="6" bestFit="1" customWidth="1"/>
    <col min="16" max="16" width="12.28125" style="0" bestFit="1" customWidth="1"/>
    <col min="17" max="17" width="11.28125" style="6" bestFit="1" customWidth="1"/>
    <col min="18" max="18" width="12.28125" style="0" bestFit="1" customWidth="1"/>
    <col min="19" max="19" width="13.421875" style="6" customWidth="1"/>
    <col min="20" max="20" width="12.8515625" style="0" customWidth="1"/>
    <col min="21" max="21" width="13.57421875" style="6" customWidth="1"/>
    <col min="22" max="22" width="12.00390625" style="130" customWidth="1"/>
    <col min="23" max="23" width="11.00390625" style="126" customWidth="1"/>
    <col min="24" max="24" width="12.28125" style="130" bestFit="1" customWidth="1"/>
    <col min="25" max="25" width="11.28125" style="126" bestFit="1" customWidth="1"/>
    <col min="26" max="26" width="13.421875" style="142" customWidth="1"/>
    <col min="27" max="27" width="13.28125" style="119" customWidth="1"/>
    <col min="28" max="28" width="13.8515625" style="0" bestFit="1" customWidth="1"/>
    <col min="29" max="29" width="12.00390625" style="0" customWidth="1"/>
  </cols>
  <sheetData>
    <row r="1" spans="1:28" s="12" customFormat="1" ht="12.75">
      <c r="A1" s="11"/>
      <c r="B1" s="47"/>
      <c r="D1" s="221" t="s">
        <v>213</v>
      </c>
      <c r="E1" s="218"/>
      <c r="F1" s="217" t="s">
        <v>214</v>
      </c>
      <c r="G1" s="218"/>
      <c r="H1" s="217" t="s">
        <v>215</v>
      </c>
      <c r="I1" s="218"/>
      <c r="J1" s="219" t="s">
        <v>216</v>
      </c>
      <c r="K1" s="224"/>
      <c r="L1" s="219" t="s">
        <v>217</v>
      </c>
      <c r="M1" s="224"/>
      <c r="N1" s="219" t="s">
        <v>218</v>
      </c>
      <c r="O1" s="224"/>
      <c r="P1" s="219" t="s">
        <v>219</v>
      </c>
      <c r="Q1" s="224"/>
      <c r="R1" s="219" t="s">
        <v>220</v>
      </c>
      <c r="S1" s="224"/>
      <c r="T1" s="219" t="s">
        <v>221</v>
      </c>
      <c r="U1" s="224"/>
      <c r="V1" s="234" t="s">
        <v>222</v>
      </c>
      <c r="W1" s="235"/>
      <c r="X1" s="234" t="s">
        <v>223</v>
      </c>
      <c r="Y1" s="235"/>
      <c r="Z1" s="219" t="s">
        <v>224</v>
      </c>
      <c r="AA1" s="224"/>
      <c r="AB1" s="12" t="s">
        <v>37</v>
      </c>
    </row>
    <row r="2" spans="1:29" s="15" customFormat="1" ht="12.75">
      <c r="A2" s="14" t="s">
        <v>0</v>
      </c>
      <c r="B2" s="48"/>
      <c r="C2" s="15" t="s">
        <v>87</v>
      </c>
      <c r="D2" s="99" t="s">
        <v>35</v>
      </c>
      <c r="E2" s="100" t="s">
        <v>36</v>
      </c>
      <c r="F2" s="99" t="s">
        <v>35</v>
      </c>
      <c r="G2" s="101" t="s">
        <v>36</v>
      </c>
      <c r="H2" s="99" t="s">
        <v>35</v>
      </c>
      <c r="I2" s="100" t="s">
        <v>36</v>
      </c>
      <c r="J2" s="99" t="s">
        <v>35</v>
      </c>
      <c r="K2" s="101" t="s">
        <v>36</v>
      </c>
      <c r="L2" s="99" t="s">
        <v>35</v>
      </c>
      <c r="M2" s="100" t="s">
        <v>36</v>
      </c>
      <c r="N2" s="99" t="s">
        <v>35</v>
      </c>
      <c r="O2" s="100" t="s">
        <v>36</v>
      </c>
      <c r="P2" s="99" t="s">
        <v>35</v>
      </c>
      <c r="Q2" s="100" t="s">
        <v>36</v>
      </c>
      <c r="R2" s="99" t="s">
        <v>35</v>
      </c>
      <c r="S2" s="100" t="s">
        <v>36</v>
      </c>
      <c r="T2" s="99" t="s">
        <v>35</v>
      </c>
      <c r="U2" s="100" t="s">
        <v>36</v>
      </c>
      <c r="V2" s="121" t="s">
        <v>35</v>
      </c>
      <c r="W2" s="122" t="s">
        <v>36</v>
      </c>
      <c r="X2" s="123" t="s">
        <v>35</v>
      </c>
      <c r="Y2" s="122" t="s">
        <v>36</v>
      </c>
      <c r="Z2" s="138" t="s">
        <v>35</v>
      </c>
      <c r="AA2" s="136" t="s">
        <v>36</v>
      </c>
      <c r="AB2" s="99" t="s">
        <v>35</v>
      </c>
      <c r="AC2" s="99" t="s">
        <v>36</v>
      </c>
    </row>
    <row r="3" spans="1:27" s="24" customFormat="1" ht="12.75">
      <c r="A3" s="5"/>
      <c r="B3" s="49"/>
      <c r="E3" s="25"/>
      <c r="G3" s="52"/>
      <c r="H3" s="68"/>
      <c r="I3" s="25"/>
      <c r="J3" s="98"/>
      <c r="K3" s="25"/>
      <c r="M3" s="25"/>
      <c r="O3" s="25"/>
      <c r="Q3" s="25"/>
      <c r="R3" s="45"/>
      <c r="S3" s="25"/>
      <c r="U3" s="25"/>
      <c r="V3" s="124"/>
      <c r="W3" s="125"/>
      <c r="X3" s="124"/>
      <c r="Y3" s="125"/>
      <c r="Z3" s="139"/>
      <c r="AA3" s="137"/>
    </row>
    <row r="4" spans="1:29" ht="12.75">
      <c r="A4" s="6" t="s">
        <v>1</v>
      </c>
      <c r="B4" s="51" t="s">
        <v>115</v>
      </c>
      <c r="C4" s="41" t="s">
        <v>88</v>
      </c>
      <c r="D4">
        <v>100</v>
      </c>
      <c r="E4" s="3">
        <v>24.31</v>
      </c>
      <c r="F4">
        <v>66</v>
      </c>
      <c r="G4" s="53">
        <v>20.54</v>
      </c>
      <c r="H4" s="17">
        <v>1</v>
      </c>
      <c r="I4" s="3">
        <v>13.51</v>
      </c>
      <c r="J4" s="17">
        <v>25</v>
      </c>
      <c r="K4" s="6">
        <v>16.03</v>
      </c>
      <c r="L4" s="17">
        <v>53</v>
      </c>
      <c r="M4" s="6">
        <v>21.21</v>
      </c>
      <c r="N4" s="17">
        <v>58</v>
      </c>
      <c r="O4" s="3">
        <v>21.67</v>
      </c>
      <c r="P4" s="17">
        <v>64</v>
      </c>
      <c r="Q4" s="3">
        <f>3.79+18.51</f>
        <v>22.3</v>
      </c>
      <c r="R4" s="17">
        <v>63</v>
      </c>
      <c r="S4" s="6">
        <f>3.73+18.45</f>
        <v>22.18</v>
      </c>
      <c r="T4" s="17">
        <v>34</v>
      </c>
      <c r="U4" s="119">
        <v>19.11</v>
      </c>
      <c r="V4" s="132">
        <v>28</v>
      </c>
      <c r="W4" s="133">
        <v>18.45</v>
      </c>
      <c r="X4" s="134">
        <v>32</v>
      </c>
      <c r="Y4" s="135">
        <v>18.81</v>
      </c>
      <c r="Z4" s="140">
        <v>41</v>
      </c>
      <c r="AA4" s="119">
        <v>19.76</v>
      </c>
      <c r="AB4">
        <f aca="true" t="shared" si="0" ref="AB4:AB39">D4+F4+H4+J4+L4+N4+P4+R4+T4+V4+X4+Z4</f>
        <v>565</v>
      </c>
      <c r="AC4">
        <f aca="true" t="shared" si="1" ref="AC4:AC39">E4+G4+I4+K4+M4+O4+Q4+S4+U4+W4+Y4+AA4</f>
        <v>237.88</v>
      </c>
    </row>
    <row r="5" spans="1:29" ht="12.75">
      <c r="A5" s="6" t="s">
        <v>1</v>
      </c>
      <c r="B5" s="51" t="s">
        <v>116</v>
      </c>
      <c r="C5" s="41" t="s">
        <v>88</v>
      </c>
      <c r="D5">
        <v>748</v>
      </c>
      <c r="E5" s="3">
        <v>97.69</v>
      </c>
      <c r="F5">
        <v>748</v>
      </c>
      <c r="G5" s="54">
        <v>96.92</v>
      </c>
      <c r="H5" s="17">
        <v>748</v>
      </c>
      <c r="I5" s="3">
        <v>97.24</v>
      </c>
      <c r="J5" s="17">
        <v>748</v>
      </c>
      <c r="K5" s="6">
        <v>97.3</v>
      </c>
      <c r="L5" s="17">
        <v>748</v>
      </c>
      <c r="M5" s="6">
        <v>98.28</v>
      </c>
      <c r="N5" s="17">
        <v>748</v>
      </c>
      <c r="O5" s="6">
        <v>97.98</v>
      </c>
      <c r="P5" s="17">
        <f>748</f>
        <v>748</v>
      </c>
      <c r="Q5" s="3">
        <f>44.27+54.03</f>
        <v>98.30000000000001</v>
      </c>
      <c r="R5" s="17">
        <v>748</v>
      </c>
      <c r="S5" s="6">
        <f>44.36+54.03</f>
        <v>98.39</v>
      </c>
      <c r="T5" s="17">
        <v>748</v>
      </c>
      <c r="U5" s="119">
        <v>99.98</v>
      </c>
      <c r="V5" s="132">
        <v>748</v>
      </c>
      <c r="W5" s="133">
        <f>43.9+54.03</f>
        <v>97.93</v>
      </c>
      <c r="X5" s="132">
        <v>748</v>
      </c>
      <c r="Y5" s="133">
        <f>43.9+54.03+0.96</f>
        <v>98.89</v>
      </c>
      <c r="Z5" s="140">
        <v>748</v>
      </c>
      <c r="AA5" s="119">
        <v>97.67</v>
      </c>
      <c r="AB5">
        <f t="shared" si="0"/>
        <v>8976</v>
      </c>
      <c r="AC5">
        <f t="shared" si="1"/>
        <v>1176.5700000000002</v>
      </c>
    </row>
    <row r="6" spans="1:29" ht="12.75">
      <c r="A6" s="6" t="s">
        <v>1</v>
      </c>
      <c r="B6" s="51" t="s">
        <v>117</v>
      </c>
      <c r="C6" s="27" t="s">
        <v>88</v>
      </c>
      <c r="D6">
        <v>50</v>
      </c>
      <c r="E6" s="3">
        <v>11.37</v>
      </c>
      <c r="F6">
        <v>50</v>
      </c>
      <c r="G6" s="54">
        <v>11.33</v>
      </c>
      <c r="H6" s="17">
        <v>50</v>
      </c>
      <c r="I6" s="3">
        <v>11.35</v>
      </c>
      <c r="J6">
        <v>50</v>
      </c>
      <c r="K6" s="6">
        <v>11.34</v>
      </c>
      <c r="L6" s="17">
        <v>50</v>
      </c>
      <c r="M6" s="6">
        <v>11.41</v>
      </c>
      <c r="N6" s="17">
        <v>50</v>
      </c>
      <c r="O6" s="6">
        <v>11.39</v>
      </c>
      <c r="P6" s="17">
        <v>50</v>
      </c>
      <c r="Q6" s="6">
        <f>2.96+8.45</f>
        <v>11.41</v>
      </c>
      <c r="R6" s="17">
        <v>50</v>
      </c>
      <c r="S6" s="6">
        <f>2.97+8.45</f>
        <v>11.42</v>
      </c>
      <c r="T6" s="17">
        <v>50</v>
      </c>
      <c r="U6" s="119">
        <v>11.52</v>
      </c>
      <c r="V6" s="132">
        <v>50</v>
      </c>
      <c r="W6" s="133">
        <f>2.94+8.45</f>
        <v>11.389999999999999</v>
      </c>
      <c r="X6" s="132">
        <v>50</v>
      </c>
      <c r="Y6" s="133">
        <f>2.94+8.45+0.06</f>
        <v>11.45</v>
      </c>
      <c r="Z6" s="140">
        <v>50</v>
      </c>
      <c r="AA6" s="119">
        <v>11.38</v>
      </c>
      <c r="AB6">
        <f t="shared" si="0"/>
        <v>600</v>
      </c>
      <c r="AC6">
        <f t="shared" si="1"/>
        <v>136.76</v>
      </c>
    </row>
    <row r="7" spans="1:29" ht="12.75">
      <c r="A7" s="6" t="s">
        <v>1</v>
      </c>
      <c r="B7" s="51" t="s">
        <v>118</v>
      </c>
      <c r="C7" s="27" t="s">
        <v>89</v>
      </c>
      <c r="D7">
        <v>11120</v>
      </c>
      <c r="E7" s="3">
        <v>1685.51</v>
      </c>
      <c r="F7">
        <v>12080</v>
      </c>
      <c r="G7" s="54">
        <v>2070.53</v>
      </c>
      <c r="H7" s="17">
        <v>11040</v>
      </c>
      <c r="I7" s="3">
        <v>1672.9</v>
      </c>
      <c r="J7" s="86">
        <v>7040</v>
      </c>
      <c r="K7" s="87">
        <v>1761.83</v>
      </c>
      <c r="L7" s="27">
        <v>6960</v>
      </c>
      <c r="M7" s="6">
        <v>1753.07</v>
      </c>
      <c r="N7" s="17">
        <v>7280</v>
      </c>
      <c r="O7" s="6">
        <v>1769.54</v>
      </c>
      <c r="P7" s="17">
        <v>7040</v>
      </c>
      <c r="Q7" s="3">
        <f>415.8+1011.9</f>
        <v>1427.7</v>
      </c>
      <c r="R7" s="17">
        <v>7120</v>
      </c>
      <c r="S7" s="6">
        <f>420.6+1012.21</f>
        <v>1432.81</v>
      </c>
      <c r="T7" s="17">
        <f>1500+3440</f>
        <v>4940</v>
      </c>
      <c r="U7" s="119">
        <v>1656.92</v>
      </c>
      <c r="V7" s="132">
        <v>3400</v>
      </c>
      <c r="W7" s="133">
        <f>200.82+1065.62</f>
        <v>1266.4399999999998</v>
      </c>
      <c r="X7" s="132">
        <v>2400</v>
      </c>
      <c r="Y7" s="133">
        <f>141.04+839.99+8.98</f>
        <v>990.01</v>
      </c>
      <c r="Z7" s="140">
        <v>3200</v>
      </c>
      <c r="AA7" s="119">
        <v>1255</v>
      </c>
      <c r="AB7">
        <f t="shared" si="0"/>
        <v>83620</v>
      </c>
      <c r="AC7">
        <f t="shared" si="1"/>
        <v>18742.26</v>
      </c>
    </row>
    <row r="8" spans="1:29" ht="12.75">
      <c r="A8" s="6" t="s">
        <v>2</v>
      </c>
      <c r="B8" s="51" t="s">
        <v>119</v>
      </c>
      <c r="C8" s="27" t="s">
        <v>90</v>
      </c>
      <c r="D8" s="7">
        <v>120000</v>
      </c>
      <c r="E8" s="3">
        <v>12217.02</v>
      </c>
      <c r="F8">
        <v>94880</v>
      </c>
      <c r="G8" s="54">
        <v>10558.64</v>
      </c>
      <c r="H8" s="17">
        <v>85760</v>
      </c>
      <c r="I8" s="3">
        <v>10069.95</v>
      </c>
      <c r="J8" s="27">
        <v>66560</v>
      </c>
      <c r="K8" s="6">
        <v>8779.9</v>
      </c>
      <c r="L8" s="78">
        <v>54585</v>
      </c>
      <c r="M8" s="110">
        <f>10.47+9306.93-2680.29</f>
        <v>6637.11</v>
      </c>
      <c r="N8" s="78">
        <v>72879</v>
      </c>
      <c r="O8" s="102">
        <f>4277.72+3410.08</f>
        <v>7687.8</v>
      </c>
      <c r="P8" s="17">
        <v>62207</v>
      </c>
      <c r="Q8" s="6">
        <f>3671.22+3394.9</f>
        <v>7066.12</v>
      </c>
      <c r="R8" s="106">
        <v>61441</v>
      </c>
      <c r="S8" s="79">
        <f>3629.62+3512.87</f>
        <v>7142.49</v>
      </c>
      <c r="T8" s="17">
        <v>78847</v>
      </c>
      <c r="U8" s="120">
        <v>8542.5</v>
      </c>
      <c r="V8" s="132">
        <v>80716</v>
      </c>
      <c r="W8" s="133">
        <f>4768.86+4356.43</f>
        <v>9125.29</v>
      </c>
      <c r="X8" s="132">
        <v>70496</v>
      </c>
      <c r="Y8" s="133">
        <f>4142.89+3456.65+82.23</f>
        <v>7681.77</v>
      </c>
      <c r="Z8" s="140">
        <v>78447</v>
      </c>
      <c r="AA8" s="119">
        <v>9268.56</v>
      </c>
      <c r="AB8">
        <f t="shared" si="0"/>
        <v>926818</v>
      </c>
      <c r="AC8">
        <f t="shared" si="1"/>
        <v>104777.15000000001</v>
      </c>
    </row>
    <row r="9" spans="1:29" ht="12.75">
      <c r="A9" s="6" t="s">
        <v>2</v>
      </c>
      <c r="B9" s="51" t="s">
        <v>120</v>
      </c>
      <c r="C9" s="27" t="s">
        <v>91</v>
      </c>
      <c r="D9">
        <v>71</v>
      </c>
      <c r="E9" s="3">
        <v>12.96</v>
      </c>
      <c r="F9">
        <v>71</v>
      </c>
      <c r="G9" s="54">
        <v>12.89</v>
      </c>
      <c r="H9" s="17">
        <v>71</v>
      </c>
      <c r="I9" s="3">
        <v>12.92</v>
      </c>
      <c r="J9" s="27">
        <v>71</v>
      </c>
      <c r="K9" s="6">
        <v>12.88</v>
      </c>
      <c r="L9" s="28">
        <v>71</v>
      </c>
      <c r="M9" s="6">
        <v>12.98</v>
      </c>
      <c r="N9" s="17">
        <v>71</v>
      </c>
      <c r="O9" s="6">
        <v>12.99</v>
      </c>
      <c r="P9" s="17">
        <v>71</v>
      </c>
      <c r="Q9" s="6">
        <f>4.2+8.81</f>
        <v>13.010000000000002</v>
      </c>
      <c r="R9" s="70">
        <v>71</v>
      </c>
      <c r="S9" s="6">
        <f>4.21+8.81</f>
        <v>13.02</v>
      </c>
      <c r="T9" s="17">
        <v>71</v>
      </c>
      <c r="U9" s="119">
        <v>13.18</v>
      </c>
      <c r="V9" s="132">
        <v>71</v>
      </c>
      <c r="W9" s="133">
        <f>4.17+8.81</f>
        <v>12.98</v>
      </c>
      <c r="X9" s="132">
        <v>71</v>
      </c>
      <c r="Y9" s="133">
        <f>4.17+8.81+0.07</f>
        <v>13.05</v>
      </c>
      <c r="Z9" s="140">
        <v>71</v>
      </c>
      <c r="AA9" s="119">
        <v>12.96</v>
      </c>
      <c r="AB9">
        <f t="shared" si="0"/>
        <v>852</v>
      </c>
      <c r="AC9">
        <f t="shared" si="1"/>
        <v>155.82000000000002</v>
      </c>
    </row>
    <row r="10" spans="1:29" ht="12.75">
      <c r="A10" s="6" t="s">
        <v>2</v>
      </c>
      <c r="B10" s="51" t="s">
        <v>121</v>
      </c>
      <c r="C10" s="27" t="s">
        <v>91</v>
      </c>
      <c r="D10">
        <v>160</v>
      </c>
      <c r="E10" s="3">
        <v>24</v>
      </c>
      <c r="F10">
        <v>160</v>
      </c>
      <c r="G10" s="54">
        <v>23.85</v>
      </c>
      <c r="H10" s="17">
        <v>160</v>
      </c>
      <c r="I10" s="3">
        <v>23.91</v>
      </c>
      <c r="J10" s="27">
        <v>160</v>
      </c>
      <c r="K10" s="6">
        <v>23.83</v>
      </c>
      <c r="L10" s="28">
        <v>160</v>
      </c>
      <c r="M10" s="26">
        <v>24.03</v>
      </c>
      <c r="N10" s="27">
        <v>160</v>
      </c>
      <c r="O10" s="6">
        <v>24.06</v>
      </c>
      <c r="P10" s="17">
        <v>160</v>
      </c>
      <c r="Q10" s="6">
        <f>9.47+14.66</f>
        <v>24.130000000000003</v>
      </c>
      <c r="R10" s="70">
        <v>160</v>
      </c>
      <c r="S10" s="6">
        <f>9.5+14.66</f>
        <v>24.16</v>
      </c>
      <c r="T10" s="17">
        <v>160</v>
      </c>
      <c r="U10" s="119">
        <v>24.49</v>
      </c>
      <c r="V10" s="132">
        <v>160</v>
      </c>
      <c r="W10" s="133">
        <f>9.39+14.66</f>
        <v>24.05</v>
      </c>
      <c r="X10" s="132">
        <v>160</v>
      </c>
      <c r="Y10" s="133">
        <f>9.39+14.66+0.21</f>
        <v>24.26</v>
      </c>
      <c r="Z10" s="140">
        <v>160</v>
      </c>
      <c r="AA10" s="119">
        <v>23.98</v>
      </c>
      <c r="AB10">
        <f t="shared" si="0"/>
        <v>1920</v>
      </c>
      <c r="AC10">
        <f t="shared" si="1"/>
        <v>288.75000000000006</v>
      </c>
    </row>
    <row r="11" spans="1:29" ht="12.75">
      <c r="A11" s="6" t="s">
        <v>2</v>
      </c>
      <c r="B11" s="51" t="s">
        <v>122</v>
      </c>
      <c r="C11" s="27" t="s">
        <v>91</v>
      </c>
      <c r="D11">
        <v>374</v>
      </c>
      <c r="E11" s="3">
        <v>48.85</v>
      </c>
      <c r="F11">
        <v>374</v>
      </c>
      <c r="G11" s="54">
        <v>48.47</v>
      </c>
      <c r="H11" s="17">
        <v>374</v>
      </c>
      <c r="I11" s="3">
        <v>48.63</v>
      </c>
      <c r="J11" s="27">
        <v>374</v>
      </c>
      <c r="K11" s="6">
        <v>48.45</v>
      </c>
      <c r="L11" s="28">
        <v>374</v>
      </c>
      <c r="M11" s="6">
        <v>48.92</v>
      </c>
      <c r="N11" s="28">
        <v>374</v>
      </c>
      <c r="O11" s="6">
        <v>48.99</v>
      </c>
      <c r="P11" s="17">
        <v>374</v>
      </c>
      <c r="Q11" s="6">
        <f>22.15+27</f>
        <v>49.15</v>
      </c>
      <c r="R11" s="70">
        <v>374</v>
      </c>
      <c r="S11" s="6">
        <f>22.19+27</f>
        <v>49.19</v>
      </c>
      <c r="T11" s="17">
        <v>374</v>
      </c>
      <c r="U11" s="119">
        <v>49.96</v>
      </c>
      <c r="V11" s="132">
        <v>374</v>
      </c>
      <c r="W11" s="133">
        <f>21.97+27</f>
        <v>48.97</v>
      </c>
      <c r="X11" s="132">
        <v>374</v>
      </c>
      <c r="Y11" s="133">
        <f>21.97+27+0.47</f>
        <v>49.44</v>
      </c>
      <c r="Z11" s="140">
        <v>374</v>
      </c>
      <c r="AA11" s="119">
        <v>48.82</v>
      </c>
      <c r="AB11">
        <f t="shared" si="0"/>
        <v>4488</v>
      </c>
      <c r="AC11">
        <f t="shared" si="1"/>
        <v>587.84</v>
      </c>
    </row>
    <row r="12" spans="1:29" ht="12.75">
      <c r="A12" s="6" t="s">
        <v>3</v>
      </c>
      <c r="B12" s="51" t="s">
        <v>123</v>
      </c>
      <c r="C12" s="27" t="s">
        <v>93</v>
      </c>
      <c r="D12">
        <v>7080</v>
      </c>
      <c r="E12" s="3">
        <v>785.38</v>
      </c>
      <c r="F12">
        <v>4840</v>
      </c>
      <c r="G12" s="54">
        <v>639.36</v>
      </c>
      <c r="H12" s="17">
        <v>4200</v>
      </c>
      <c r="I12" s="3">
        <v>561.38</v>
      </c>
      <c r="J12" s="27">
        <v>3400</v>
      </c>
      <c r="K12" s="6">
        <v>490.73</v>
      </c>
      <c r="L12" s="28">
        <v>2760</v>
      </c>
      <c r="M12" s="6">
        <v>444.08</v>
      </c>
      <c r="N12" s="28">
        <v>3400</v>
      </c>
      <c r="O12" s="6">
        <v>490.35</v>
      </c>
      <c r="P12" s="17">
        <v>3040</v>
      </c>
      <c r="Q12" s="3">
        <f>179.56+291.84</f>
        <v>471.4</v>
      </c>
      <c r="R12" s="70">
        <v>2840</v>
      </c>
      <c r="S12" s="3">
        <f>167.77+280.23</f>
        <v>448</v>
      </c>
      <c r="T12" s="17">
        <f>VLOOKUP(B12,'[1]May 2013'!$A$8:$J$79,6,FALSE)</f>
        <v>3920</v>
      </c>
      <c r="U12" s="119">
        <f>VLOOKUP(B12,'[1]May 2013'!$A$8:$J$79,10,FALSE)</f>
        <v>540.63</v>
      </c>
      <c r="V12" s="132">
        <v>5120</v>
      </c>
      <c r="W12" s="133">
        <f>302.41+323.62</f>
        <v>626.03</v>
      </c>
      <c r="X12" s="132">
        <v>6880</v>
      </c>
      <c r="Y12" s="133">
        <f>404.31+350.97+3.95</f>
        <v>759.23</v>
      </c>
      <c r="Z12" s="140">
        <v>7440</v>
      </c>
      <c r="AA12" s="119">
        <v>823.74</v>
      </c>
      <c r="AB12">
        <f t="shared" si="0"/>
        <v>54920</v>
      </c>
      <c r="AC12">
        <f t="shared" si="1"/>
        <v>7080.3099999999995</v>
      </c>
    </row>
    <row r="13" spans="1:29" ht="12.75">
      <c r="A13" s="6" t="s">
        <v>76</v>
      </c>
      <c r="B13" s="51" t="s">
        <v>124</v>
      </c>
      <c r="C13" s="27" t="s">
        <v>202</v>
      </c>
      <c r="D13">
        <v>27760</v>
      </c>
      <c r="E13" s="3">
        <v>2491.06</v>
      </c>
      <c r="F13">
        <v>24240</v>
      </c>
      <c r="G13" s="54">
        <v>2225.04</v>
      </c>
      <c r="H13" s="17">
        <v>22800</v>
      </c>
      <c r="I13" s="3">
        <v>2156.45</v>
      </c>
      <c r="J13" s="27">
        <v>24720</v>
      </c>
      <c r="K13" s="6">
        <v>2301.51</v>
      </c>
      <c r="L13" s="28">
        <v>23920</v>
      </c>
      <c r="M13" s="6">
        <v>2216.27</v>
      </c>
      <c r="N13" s="28">
        <v>26080</v>
      </c>
      <c r="O13" s="6">
        <v>2337.29</v>
      </c>
      <c r="P13" s="17">
        <v>22640</v>
      </c>
      <c r="Q13" s="6">
        <f>1337.88+804.61</f>
        <v>2142.4900000000002</v>
      </c>
      <c r="R13" s="70">
        <v>22480</v>
      </c>
      <c r="S13" s="26">
        <f>1328.95+804</f>
        <v>2132.95</v>
      </c>
      <c r="T13" s="17">
        <f>VLOOKUP(B13,'[1]May 2013'!$A$8:$J$79,6,FALSE)</f>
        <v>25200</v>
      </c>
      <c r="U13" s="119">
        <f>VLOOKUP(B13,'[1]May 2013'!$A$8:$J$79,10,FALSE)</f>
        <v>2366.13</v>
      </c>
      <c r="V13" s="132">
        <v>25040</v>
      </c>
      <c r="W13" s="133">
        <f>1476.78+830.79</f>
        <v>2307.5699999999997</v>
      </c>
      <c r="X13" s="132">
        <v>29520</v>
      </c>
      <c r="Y13" s="133">
        <f>1734.47+706.69+31.2</f>
        <v>2472.3599999999997</v>
      </c>
      <c r="Z13" s="140">
        <v>26720</v>
      </c>
      <c r="AA13" s="119">
        <v>2265.63</v>
      </c>
      <c r="AB13">
        <f t="shared" si="0"/>
        <v>301120</v>
      </c>
      <c r="AC13">
        <f t="shared" si="1"/>
        <v>27414.750000000004</v>
      </c>
    </row>
    <row r="14" spans="1:29" ht="12.75">
      <c r="A14" s="6" t="s">
        <v>34</v>
      </c>
      <c r="B14" s="51" t="s">
        <v>125</v>
      </c>
      <c r="C14" s="27" t="s">
        <v>94</v>
      </c>
      <c r="D14">
        <v>60960</v>
      </c>
      <c r="E14" s="3">
        <v>6637.13</v>
      </c>
      <c r="F14">
        <v>50160</v>
      </c>
      <c r="G14" s="54">
        <v>5944.74</v>
      </c>
      <c r="H14" s="17">
        <v>43920</v>
      </c>
      <c r="I14" s="3">
        <v>5610.67</v>
      </c>
      <c r="J14" s="27">
        <v>33600</v>
      </c>
      <c r="K14" s="6">
        <v>4958.21</v>
      </c>
      <c r="L14" s="78">
        <v>28512</v>
      </c>
      <c r="M14" s="79">
        <f>3193.24+1670.74</f>
        <v>4863.98</v>
      </c>
      <c r="N14" s="28">
        <v>41163</v>
      </c>
      <c r="O14" s="6">
        <f>2416.1+2599.32</f>
        <v>5015.42</v>
      </c>
      <c r="P14" s="17">
        <v>34098</v>
      </c>
      <c r="Q14" s="6">
        <f>2012.34+2547.53</f>
        <v>4559.87</v>
      </c>
      <c r="R14" s="107">
        <v>30721</v>
      </c>
      <c r="S14" s="79">
        <f>1814.84+2508.94</f>
        <v>4323.78</v>
      </c>
      <c r="T14" s="17">
        <f>VLOOKUP(B14,'[1]May 2013'!$A$8:$J$79,6,FALSE)</f>
        <v>41156</v>
      </c>
      <c r="U14" s="119">
        <f>2497.25+2427.14+11.63</f>
        <v>4936.0199999999995</v>
      </c>
      <c r="V14" s="132">
        <v>40769</v>
      </c>
      <c r="W14" s="133">
        <f>2408.72+2689.01</f>
        <v>5097.73</v>
      </c>
      <c r="X14" s="132">
        <v>25284</v>
      </c>
      <c r="Y14" s="133">
        <f>1485.9+2186.83+44.74</f>
        <v>3717.47</v>
      </c>
      <c r="Z14" s="140">
        <v>32425</v>
      </c>
      <c r="AA14" s="119">
        <v>5026.78</v>
      </c>
      <c r="AB14">
        <f t="shared" si="0"/>
        <v>462768</v>
      </c>
      <c r="AC14">
        <f t="shared" si="1"/>
        <v>60691.8</v>
      </c>
    </row>
    <row r="15" spans="1:29" ht="12.75">
      <c r="A15" s="6" t="s">
        <v>4</v>
      </c>
      <c r="B15" s="51" t="s">
        <v>126</v>
      </c>
      <c r="C15" s="27" t="s">
        <v>95</v>
      </c>
      <c r="D15">
        <v>26</v>
      </c>
      <c r="E15" s="3">
        <v>68.54</v>
      </c>
      <c r="F15">
        <v>553</v>
      </c>
      <c r="G15" s="54">
        <v>126.57</v>
      </c>
      <c r="H15" s="17">
        <v>660</v>
      </c>
      <c r="I15" s="3">
        <v>151.14</v>
      </c>
      <c r="J15" s="27">
        <v>213</v>
      </c>
      <c r="K15" s="6">
        <v>105.12</v>
      </c>
      <c r="L15" s="28">
        <v>114</v>
      </c>
      <c r="M15" s="26">
        <v>66.1</v>
      </c>
      <c r="N15" s="27">
        <v>321</v>
      </c>
      <c r="O15" s="6">
        <v>70.56</v>
      </c>
      <c r="P15" s="17">
        <v>358</v>
      </c>
      <c r="Q15" s="6">
        <f>21.15+52.13</f>
        <v>73.28</v>
      </c>
      <c r="R15" s="70">
        <v>202</v>
      </c>
      <c r="S15" s="6">
        <f>11.93+42.96</f>
        <v>54.89</v>
      </c>
      <c r="T15" s="17">
        <f>VLOOKUP(B15,'[1]May 2013'!$A$8:$J$79,6,FALSE)</f>
        <v>97</v>
      </c>
      <c r="U15" s="119">
        <f>VLOOKUP(B15,'[1]May 2013'!$A$8:$J$79,10,FALSE)</f>
        <v>48.519999999999996</v>
      </c>
      <c r="V15" s="132">
        <v>314</v>
      </c>
      <c r="W15" s="133">
        <f>18.55+51.97+0.29</f>
        <v>70.81</v>
      </c>
      <c r="X15" s="134">
        <v>128</v>
      </c>
      <c r="Y15" s="135">
        <v>58.77</v>
      </c>
      <c r="Z15" s="140">
        <v>32</v>
      </c>
      <c r="AA15" s="119">
        <v>44.12</v>
      </c>
      <c r="AB15">
        <f t="shared" si="0"/>
        <v>3018</v>
      </c>
      <c r="AC15">
        <f t="shared" si="1"/>
        <v>938.42</v>
      </c>
    </row>
    <row r="16" spans="1:29" ht="12.75">
      <c r="A16" s="6" t="s">
        <v>5</v>
      </c>
      <c r="B16" s="51" t="s">
        <v>127</v>
      </c>
      <c r="C16" s="27" t="s">
        <v>96</v>
      </c>
      <c r="D16">
        <v>62000</v>
      </c>
      <c r="E16" s="3">
        <v>6342.73</v>
      </c>
      <c r="F16">
        <v>46000</v>
      </c>
      <c r="G16" s="54">
        <v>4819.67</v>
      </c>
      <c r="H16" s="17">
        <v>36600</v>
      </c>
      <c r="I16" s="3">
        <v>4252.78</v>
      </c>
      <c r="J16" s="78">
        <v>34200</v>
      </c>
      <c r="K16" s="79">
        <f>2172.17+2013.36</f>
        <v>4185.53</v>
      </c>
      <c r="L16" s="78">
        <v>33858</v>
      </c>
      <c r="M16" s="79">
        <f>2360.19+1983.24</f>
        <v>4343.43</v>
      </c>
      <c r="N16" s="27">
        <v>40315</v>
      </c>
      <c r="O16" s="6">
        <f>2367.26+2299.32</f>
        <v>4666.58</v>
      </c>
      <c r="P16" s="17">
        <v>33594</v>
      </c>
      <c r="Q16" s="6">
        <f>1983.89+2032.86</f>
        <v>4016.75</v>
      </c>
      <c r="R16" s="17">
        <v>34248</v>
      </c>
      <c r="S16" s="6">
        <f>2023.06+2233.65</f>
        <v>4256.71</v>
      </c>
      <c r="T16" s="17">
        <f>VLOOKUP(B16,'[1]May 2013'!$A$8:$J$79,6,FALSE)</f>
        <v>36046</v>
      </c>
      <c r="U16" s="119">
        <f>VLOOKUP(B16,'[1]May 2013'!$A$8:$J$79,10,FALSE)</f>
        <v>4155.530000000001</v>
      </c>
      <c r="V16" s="132">
        <v>34177</v>
      </c>
      <c r="W16" s="133">
        <f>2019.1+2074.32+46.52</f>
        <v>4139.9400000000005</v>
      </c>
      <c r="X16" s="134">
        <v>28513</v>
      </c>
      <c r="Y16" s="135">
        <v>3363.23</v>
      </c>
      <c r="Z16" s="140">
        <v>33075</v>
      </c>
      <c r="AA16" s="119">
        <v>3919.59</v>
      </c>
      <c r="AB16">
        <f t="shared" si="0"/>
        <v>452626</v>
      </c>
      <c r="AC16">
        <f t="shared" si="1"/>
        <v>52462.47</v>
      </c>
    </row>
    <row r="17" spans="1:29" ht="12.75">
      <c r="A17" s="26" t="s">
        <v>50</v>
      </c>
      <c r="B17" s="51" t="s">
        <v>128</v>
      </c>
      <c r="C17" s="27" t="s">
        <v>97</v>
      </c>
      <c r="D17">
        <v>640</v>
      </c>
      <c r="E17" s="3">
        <v>96.06</v>
      </c>
      <c r="F17">
        <v>640</v>
      </c>
      <c r="G17" s="55">
        <v>95.42</v>
      </c>
      <c r="H17" s="17">
        <v>640</v>
      </c>
      <c r="I17" s="3">
        <v>95.68</v>
      </c>
      <c r="J17" s="27">
        <v>640</v>
      </c>
      <c r="K17" s="57">
        <v>95.36</v>
      </c>
      <c r="L17" s="28">
        <v>640</v>
      </c>
      <c r="M17" s="26">
        <v>96.19</v>
      </c>
      <c r="N17" s="27">
        <v>640</v>
      </c>
      <c r="O17" s="6">
        <v>96.35</v>
      </c>
      <c r="P17" s="17">
        <v>640</v>
      </c>
      <c r="Q17" s="6">
        <f>37.91+58.71</f>
        <v>96.62</v>
      </c>
      <c r="R17" s="70">
        <v>640</v>
      </c>
      <c r="S17" s="6">
        <f>37.96+58.71</f>
        <v>96.67</v>
      </c>
      <c r="T17" s="17">
        <f>VLOOKUP(B17,'[1]May 2013'!$A$8:$J$79,6,FALSE)</f>
        <v>640</v>
      </c>
      <c r="U17" s="119">
        <f>VLOOKUP(B17,'[1]May 2013'!$A$8:$J$79,10,FALSE)</f>
        <v>98.14000000000001</v>
      </c>
      <c r="V17" s="132">
        <v>640</v>
      </c>
      <c r="W17" s="133">
        <f>37.58+58.71+0.81</f>
        <v>97.1</v>
      </c>
      <c r="X17" s="134">
        <v>640</v>
      </c>
      <c r="Y17" s="135">
        <v>96.28</v>
      </c>
      <c r="Z17" s="140">
        <v>640</v>
      </c>
      <c r="AA17" s="119">
        <v>96.06</v>
      </c>
      <c r="AB17">
        <f t="shared" si="0"/>
        <v>7680</v>
      </c>
      <c r="AC17">
        <f t="shared" si="1"/>
        <v>1155.93</v>
      </c>
    </row>
    <row r="18" spans="1:29" ht="12.75">
      <c r="A18" s="6" t="s">
        <v>6</v>
      </c>
      <c r="B18" s="51" t="s">
        <v>129</v>
      </c>
      <c r="C18" s="27" t="s">
        <v>98</v>
      </c>
      <c r="D18">
        <v>22640</v>
      </c>
      <c r="E18" s="3">
        <v>2534.52</v>
      </c>
      <c r="F18">
        <v>15840</v>
      </c>
      <c r="G18" s="54">
        <v>1865.86</v>
      </c>
      <c r="H18" s="17">
        <v>11440</v>
      </c>
      <c r="I18" s="3">
        <v>1601.08</v>
      </c>
      <c r="J18" s="27">
        <v>9280</v>
      </c>
      <c r="K18" s="6">
        <v>1385.99</v>
      </c>
      <c r="L18" s="28">
        <v>9600</v>
      </c>
      <c r="M18" s="26">
        <v>1373.46</v>
      </c>
      <c r="N18" s="27">
        <v>10640</v>
      </c>
      <c r="O18" s="6">
        <v>1466.22</v>
      </c>
      <c r="P18" s="17">
        <v>8480</v>
      </c>
      <c r="Q18" s="6">
        <f>500.98+806.76</f>
        <v>1307.74</v>
      </c>
      <c r="R18" s="70">
        <v>7840</v>
      </c>
      <c r="S18" s="3">
        <f>463+834.8</f>
        <v>1297.8</v>
      </c>
      <c r="T18" s="17">
        <f>VLOOKUP(B18,'[1]May 2013'!$A$8:$J$79,6,FALSE)</f>
        <v>13200</v>
      </c>
      <c r="U18" s="119">
        <f>VLOOKUP(B18,'[1]May 2013'!$A$8:$J$79,10,FALSE)</f>
        <v>1726.2600000000002</v>
      </c>
      <c r="V18" s="132">
        <v>12880</v>
      </c>
      <c r="W18" s="133">
        <f>760.72+1204.96+12.39</f>
        <v>1978.0700000000002</v>
      </c>
      <c r="X18" s="134">
        <v>11840</v>
      </c>
      <c r="Y18" s="135">
        <v>1716.86</v>
      </c>
      <c r="Z18" s="140">
        <v>17920</v>
      </c>
      <c r="AA18" s="119">
        <v>2189.08</v>
      </c>
      <c r="AB18">
        <f t="shared" si="0"/>
        <v>151600</v>
      </c>
      <c r="AC18">
        <f t="shared" si="1"/>
        <v>20442.940000000002</v>
      </c>
    </row>
    <row r="19" spans="1:29" ht="12.75">
      <c r="A19" s="6" t="s">
        <v>7</v>
      </c>
      <c r="B19" s="51" t="s">
        <v>130</v>
      </c>
      <c r="C19" s="27" t="s">
        <v>99</v>
      </c>
      <c r="D19">
        <v>279</v>
      </c>
      <c r="E19" s="3">
        <v>84.5</v>
      </c>
      <c r="F19">
        <v>286</v>
      </c>
      <c r="G19" s="54">
        <v>84.61</v>
      </c>
      <c r="H19" s="17">
        <v>439</v>
      </c>
      <c r="I19" s="3">
        <v>102.9</v>
      </c>
      <c r="J19" s="78">
        <v>534</v>
      </c>
      <c r="K19" s="79">
        <f>60.21+31.43</f>
        <v>91.64</v>
      </c>
      <c r="L19" s="78">
        <v>433</v>
      </c>
      <c r="M19" s="79">
        <f>25.38+60.63</f>
        <v>86.01</v>
      </c>
      <c r="N19" s="27">
        <v>631</v>
      </c>
      <c r="O19" s="6">
        <v>98.34</v>
      </c>
      <c r="P19" s="27">
        <v>418</v>
      </c>
      <c r="Q19" s="6">
        <f>24.7+52.35</f>
        <v>77.05</v>
      </c>
      <c r="R19" s="107">
        <v>384</v>
      </c>
      <c r="S19" s="102">
        <f>22.67+52.23</f>
        <v>74.9</v>
      </c>
      <c r="T19" s="17">
        <f>VLOOKUP(B19,'[1]May 2013'!$A$8:$J$79,6,FALSE)</f>
        <v>410</v>
      </c>
      <c r="U19" s="119">
        <f>VLOOKUP(B19,'[1]May 2013'!$A$8:$J$79,10,FALSE)</f>
        <v>85.80000000000001</v>
      </c>
      <c r="V19" s="132">
        <v>284</v>
      </c>
      <c r="W19" s="133">
        <f>16.79+51.86+0.65</f>
        <v>69.30000000000001</v>
      </c>
      <c r="X19" s="134">
        <v>220</v>
      </c>
      <c r="Y19" s="135">
        <v>55.82</v>
      </c>
      <c r="Z19" s="174">
        <v>203</v>
      </c>
      <c r="AA19" s="146">
        <v>54.89</v>
      </c>
      <c r="AB19">
        <f t="shared" si="0"/>
        <v>4521</v>
      </c>
      <c r="AC19">
        <f t="shared" si="1"/>
        <v>965.76</v>
      </c>
    </row>
    <row r="20" spans="1:29" ht="12.75">
      <c r="A20" s="26" t="s">
        <v>168</v>
      </c>
      <c r="B20" s="51" t="s">
        <v>167</v>
      </c>
      <c r="C20" s="27" t="s">
        <v>166</v>
      </c>
      <c r="D20">
        <v>1699</v>
      </c>
      <c r="E20" s="3">
        <v>167.51</v>
      </c>
      <c r="F20">
        <v>907</v>
      </c>
      <c r="G20" s="54">
        <v>93.38</v>
      </c>
      <c r="H20" s="17">
        <v>940</v>
      </c>
      <c r="I20" s="3">
        <v>97.89</v>
      </c>
      <c r="J20" s="78">
        <v>962</v>
      </c>
      <c r="K20" s="79">
        <f>40.88+56.58</f>
        <v>97.46000000000001</v>
      </c>
      <c r="L20" s="78">
        <v>1268</v>
      </c>
      <c r="M20" s="79">
        <f>74.28+51.51</f>
        <v>125.78999999999999</v>
      </c>
      <c r="N20" s="27">
        <v>658</v>
      </c>
      <c r="O20" s="3">
        <v>70.2</v>
      </c>
      <c r="P20" s="27">
        <v>714</v>
      </c>
      <c r="Q20" s="6">
        <f>42.21+31.44</f>
        <v>73.65</v>
      </c>
      <c r="R20" s="107">
        <v>744</v>
      </c>
      <c r="S20" s="79">
        <f>43.94+32.34</f>
        <v>76.28</v>
      </c>
      <c r="T20" s="17">
        <f>VLOOKUP(B20,'[1]May 2013'!$A$8:$J$79,6,FALSE)</f>
        <v>710</v>
      </c>
      <c r="U20" s="119">
        <f>VLOOKUP(B20,'[1]May 2013'!$A$8:$J$79,10,FALSE)</f>
        <v>74.66</v>
      </c>
      <c r="V20" s="132">
        <v>1214</v>
      </c>
      <c r="W20" s="133">
        <f>71.59+46.42+1.19</f>
        <v>119.2</v>
      </c>
      <c r="X20" s="134">
        <v>1237</v>
      </c>
      <c r="Y20" s="135">
        <v>119.62</v>
      </c>
      <c r="Z20" s="174">
        <v>1601</v>
      </c>
      <c r="AA20" s="146">
        <f>152.08</f>
        <v>152.08</v>
      </c>
      <c r="AB20">
        <f t="shared" si="0"/>
        <v>12654</v>
      </c>
      <c r="AC20">
        <f t="shared" si="1"/>
        <v>1267.7199999999998</v>
      </c>
    </row>
    <row r="21" spans="1:29" ht="12.75">
      <c r="A21" s="6" t="s">
        <v>8</v>
      </c>
      <c r="B21" s="51" t="s">
        <v>131</v>
      </c>
      <c r="C21" s="27" t="s">
        <v>100</v>
      </c>
      <c r="D21">
        <v>0</v>
      </c>
      <c r="E21" s="3">
        <v>13.55</v>
      </c>
      <c r="F21">
        <v>0</v>
      </c>
      <c r="G21" s="54">
        <v>13.34</v>
      </c>
      <c r="H21" s="17">
        <v>0</v>
      </c>
      <c r="I21" s="3">
        <v>13.36</v>
      </c>
      <c r="J21" s="27">
        <v>5</v>
      </c>
      <c r="K21" s="6">
        <v>13.89</v>
      </c>
      <c r="L21" s="28">
        <v>29</v>
      </c>
      <c r="M21" s="26">
        <v>18.6</v>
      </c>
      <c r="N21" s="27">
        <v>28</v>
      </c>
      <c r="O21" s="3">
        <v>18.4</v>
      </c>
      <c r="P21" s="27">
        <v>24</v>
      </c>
      <c r="Q21" s="6">
        <f>1.42+16.54</f>
        <v>17.96</v>
      </c>
      <c r="R21" s="70">
        <v>23</v>
      </c>
      <c r="S21" s="6">
        <f>1.36+16.49</f>
        <v>17.849999999999998</v>
      </c>
      <c r="T21" s="17">
        <f>VLOOKUP(B21,'[1]May 2013'!$A$8:$J$79,6,FALSE)</f>
        <v>24</v>
      </c>
      <c r="U21" s="119">
        <f>VLOOKUP(B21,'[1]May 2013'!$A$8:$J$79,10,FALSE)</f>
        <v>18</v>
      </c>
      <c r="V21" s="132">
        <v>22</v>
      </c>
      <c r="W21" s="133">
        <f>1.28+16.43+0.04</f>
        <v>17.75</v>
      </c>
      <c r="X21" s="134">
        <v>24</v>
      </c>
      <c r="Y21" s="135">
        <v>17.95</v>
      </c>
      <c r="Z21" s="140">
        <v>23</v>
      </c>
      <c r="AA21" s="119">
        <v>17.82</v>
      </c>
      <c r="AB21">
        <f t="shared" si="0"/>
        <v>202</v>
      </c>
      <c r="AC21">
        <f t="shared" si="1"/>
        <v>198.47</v>
      </c>
    </row>
    <row r="22" spans="1:29" ht="12.75">
      <c r="A22" s="6" t="s">
        <v>9</v>
      </c>
      <c r="B22" s="51" t="s">
        <v>132</v>
      </c>
      <c r="C22" s="27" t="s">
        <v>101</v>
      </c>
      <c r="D22">
        <v>2174</v>
      </c>
      <c r="E22" s="3">
        <v>247.44</v>
      </c>
      <c r="F22">
        <v>2092</v>
      </c>
      <c r="G22" s="54">
        <v>240.1</v>
      </c>
      <c r="H22" s="17">
        <v>2169</v>
      </c>
      <c r="I22" s="3">
        <v>254.75</v>
      </c>
      <c r="J22" s="78">
        <v>1802</v>
      </c>
      <c r="K22" s="79">
        <f>115.35+106.06</f>
        <v>221.41</v>
      </c>
      <c r="L22" s="78">
        <v>2074</v>
      </c>
      <c r="M22" s="79">
        <f>121.53+151.11</f>
        <v>272.64</v>
      </c>
      <c r="N22" s="27">
        <v>2469</v>
      </c>
      <c r="O22" s="6">
        <v>297.51</v>
      </c>
      <c r="P22" s="27">
        <v>2025</v>
      </c>
      <c r="Q22" s="6">
        <f>119.69+161.23</f>
        <v>280.91999999999996</v>
      </c>
      <c r="R22" s="107">
        <v>2131</v>
      </c>
      <c r="S22" s="79">
        <f>125.81+161.63</f>
        <v>287.44</v>
      </c>
      <c r="T22" s="17">
        <f>VLOOKUP(B22,'[1]May 2013'!$A$8:$J$79,6,FALSE)</f>
        <v>2057</v>
      </c>
      <c r="U22" s="119">
        <f>VLOOKUP(B22,'[1]May 2013'!$A$8:$J$79,10,FALSE)</f>
        <v>286.42</v>
      </c>
      <c r="V22" s="132">
        <v>1706</v>
      </c>
      <c r="W22" s="133">
        <f>100.79+125.77+2.73</f>
        <v>229.29</v>
      </c>
      <c r="X22" s="134">
        <v>1763</v>
      </c>
      <c r="Y22" s="135">
        <v>203.21</v>
      </c>
      <c r="Z22" s="174">
        <v>2214</v>
      </c>
      <c r="AA22" s="146">
        <f>240.64</f>
        <v>240.64</v>
      </c>
      <c r="AB22">
        <f t="shared" si="0"/>
        <v>24676</v>
      </c>
      <c r="AC22">
        <f t="shared" si="1"/>
        <v>3061.77</v>
      </c>
    </row>
    <row r="23" spans="1:29" ht="12.75">
      <c r="A23" s="6" t="s">
        <v>10</v>
      </c>
      <c r="B23" s="51" t="s">
        <v>133</v>
      </c>
      <c r="C23" s="27" t="s">
        <v>102</v>
      </c>
      <c r="D23">
        <v>8480</v>
      </c>
      <c r="E23" s="3">
        <v>810.31</v>
      </c>
      <c r="F23">
        <v>7488</v>
      </c>
      <c r="G23" s="54">
        <v>703.98</v>
      </c>
      <c r="H23" s="17">
        <v>7363</v>
      </c>
      <c r="I23" s="3">
        <v>720.74</v>
      </c>
      <c r="J23" s="27">
        <v>6487</v>
      </c>
      <c r="K23" s="6">
        <v>640.45</v>
      </c>
      <c r="L23" s="28">
        <v>6517</v>
      </c>
      <c r="M23" s="26">
        <v>667.63</v>
      </c>
      <c r="N23" s="27">
        <v>8149</v>
      </c>
      <c r="O23" s="6">
        <v>812.45</v>
      </c>
      <c r="P23" s="28">
        <v>7821</v>
      </c>
      <c r="Q23" s="6">
        <f>462.18+303.09</f>
        <v>765.27</v>
      </c>
      <c r="R23" s="70">
        <v>7540</v>
      </c>
      <c r="S23" s="6">
        <f>445.74+302.03</f>
        <v>747.77</v>
      </c>
      <c r="T23" s="17">
        <f>VLOOKUP(B23,'[1]May 2013'!$A$8:$J$79,6,FALSE)</f>
        <v>7865</v>
      </c>
      <c r="U23" s="119">
        <f>VLOOKUP(B23,'[1]May 2013'!$A$8:$J$79,10,FALSE)</f>
        <v>764.99</v>
      </c>
      <c r="V23" s="132">
        <v>7910</v>
      </c>
      <c r="W23" s="133">
        <f>466.51+286.28</f>
        <v>752.79</v>
      </c>
      <c r="X23" s="132">
        <v>9320</v>
      </c>
      <c r="Y23" s="133">
        <f>547.61+286.85+9.34</f>
        <v>843.8000000000001</v>
      </c>
      <c r="Z23" s="140">
        <v>10139</v>
      </c>
      <c r="AA23" s="119">
        <v>913.79</v>
      </c>
      <c r="AB23">
        <f t="shared" si="0"/>
        <v>95079</v>
      </c>
      <c r="AC23">
        <f t="shared" si="1"/>
        <v>9143.970000000001</v>
      </c>
    </row>
    <row r="24" spans="1:29" ht="12.75">
      <c r="A24" s="6" t="s">
        <v>203</v>
      </c>
      <c r="B24" s="50" t="s">
        <v>134</v>
      </c>
      <c r="C24" s="27" t="s">
        <v>204</v>
      </c>
      <c r="D24" s="17">
        <v>0</v>
      </c>
      <c r="E24" s="3">
        <v>8.32</v>
      </c>
      <c r="F24" s="17">
        <v>160</v>
      </c>
      <c r="G24" s="54">
        <v>23.63</v>
      </c>
      <c r="H24" s="17">
        <v>560</v>
      </c>
      <c r="I24" s="3">
        <v>65.52</v>
      </c>
      <c r="J24" s="27">
        <v>0</v>
      </c>
      <c r="K24" s="6">
        <v>7.27</v>
      </c>
      <c r="L24" s="94">
        <v>0</v>
      </c>
      <c r="M24" s="26">
        <v>7.27</v>
      </c>
      <c r="N24" s="27">
        <v>80</v>
      </c>
      <c r="O24" s="6">
        <v>15.62</v>
      </c>
      <c r="P24" s="28">
        <v>320</v>
      </c>
      <c r="Q24" s="57">
        <f>18.9+21.48</f>
        <v>40.379999999999995</v>
      </c>
      <c r="R24" s="70">
        <v>1440</v>
      </c>
      <c r="S24" s="6">
        <f>85.07+71.2</f>
        <v>156.26999999999998</v>
      </c>
      <c r="T24" s="17">
        <f>VLOOKUP(B24,'[1]May 2013'!$A$8:$J$79,6,FALSE)</f>
        <v>1320</v>
      </c>
      <c r="U24" s="119">
        <f>VLOOKUP(B24,'[1]May 2013'!$A$8:$J$79,10,FALSE)</f>
        <v>146.13000000000002</v>
      </c>
      <c r="V24" s="132">
        <v>1280</v>
      </c>
      <c r="W24" s="133">
        <f>75.4+64.09</f>
        <v>139.49</v>
      </c>
      <c r="X24" s="132">
        <v>40</v>
      </c>
      <c r="Y24" s="133">
        <f>2.34+9.05+0.1</f>
        <v>11.49</v>
      </c>
      <c r="Z24" s="140">
        <v>40</v>
      </c>
      <c r="AA24" s="119">
        <v>11.02</v>
      </c>
      <c r="AB24">
        <f t="shared" si="0"/>
        <v>5240</v>
      </c>
      <c r="AC24">
        <f t="shared" si="1"/>
        <v>632.41</v>
      </c>
    </row>
    <row r="25" spans="1:29" ht="12.75">
      <c r="A25" s="6" t="s">
        <v>12</v>
      </c>
      <c r="B25" s="51" t="s">
        <v>135</v>
      </c>
      <c r="C25" s="27" t="s">
        <v>104</v>
      </c>
      <c r="D25" s="17">
        <v>61330.95</v>
      </c>
      <c r="E25" s="3">
        <v>8118.05</v>
      </c>
      <c r="F25" s="17">
        <v>50357.16</v>
      </c>
      <c r="G25" s="54">
        <v>7420.43</v>
      </c>
      <c r="H25" s="17">
        <v>45809.16</v>
      </c>
      <c r="I25" s="3">
        <v>7245.59</v>
      </c>
      <c r="J25" s="27">
        <v>45738.1349</v>
      </c>
      <c r="K25" s="6">
        <v>7391.26</v>
      </c>
      <c r="L25" s="94">
        <v>55386.2548</v>
      </c>
      <c r="M25" s="26">
        <v>7684.79</v>
      </c>
      <c r="N25" s="103">
        <v>66714.7347</v>
      </c>
      <c r="O25" s="6">
        <v>8398.59</v>
      </c>
      <c r="P25" s="103">
        <v>59996.4298</v>
      </c>
      <c r="Q25" s="6">
        <f>3547.52+3820.83</f>
        <v>7368.35</v>
      </c>
      <c r="R25" s="108">
        <v>42094.4099</v>
      </c>
      <c r="S25" s="6">
        <f>2488.37+4578.91</f>
        <v>7067.28</v>
      </c>
      <c r="T25" s="17">
        <f>VLOOKUP(B25,'[1]May 2013'!$A$8:$J$79,6,FALSE)</f>
        <v>44692.155</v>
      </c>
      <c r="U25" s="119">
        <f>VLOOKUP(B25,'[1]May 2013'!$A$8:$J$79,10,FALSE)</f>
        <v>6587.38</v>
      </c>
      <c r="V25" s="131">
        <v>42284.405</v>
      </c>
      <c r="W25" s="133">
        <f>2551.85+3658.79+75.72</f>
        <v>6286.36</v>
      </c>
      <c r="X25" s="143">
        <v>54020.595</v>
      </c>
      <c r="Y25" s="135">
        <v>6200.43</v>
      </c>
      <c r="Z25" s="140">
        <v>46532.985</v>
      </c>
      <c r="AA25" s="119">
        <v>5820.58</v>
      </c>
      <c r="AB25">
        <f t="shared" si="0"/>
        <v>614957.3741</v>
      </c>
      <c r="AC25">
        <f t="shared" si="1"/>
        <v>85589.09000000001</v>
      </c>
    </row>
    <row r="26" spans="1:29" ht="12.75">
      <c r="A26" s="6" t="s">
        <v>13</v>
      </c>
      <c r="B26" s="51" t="s">
        <v>136</v>
      </c>
      <c r="C26" s="27" t="s">
        <v>105</v>
      </c>
      <c r="D26" s="17">
        <v>2742</v>
      </c>
      <c r="E26" s="3">
        <v>534.15</v>
      </c>
      <c r="F26" s="17">
        <v>1011</v>
      </c>
      <c r="G26" s="54">
        <v>441.54</v>
      </c>
      <c r="H26" s="17">
        <v>1055</v>
      </c>
      <c r="I26" s="3">
        <v>496.76</v>
      </c>
      <c r="J26" s="27">
        <v>1357</v>
      </c>
      <c r="K26" s="6">
        <v>447.09</v>
      </c>
      <c r="L26" s="94">
        <v>825</v>
      </c>
      <c r="M26" s="26">
        <v>411.18</v>
      </c>
      <c r="N26" s="93">
        <v>385</v>
      </c>
      <c r="O26" s="6">
        <v>345.06</v>
      </c>
      <c r="P26" s="28">
        <v>706</v>
      </c>
      <c r="Q26" s="6">
        <f>41.69+447.7</f>
        <v>489.39</v>
      </c>
      <c r="R26" s="70">
        <v>976</v>
      </c>
      <c r="S26" s="6">
        <f>57.66+483.01</f>
        <v>540.67</v>
      </c>
      <c r="T26" s="17">
        <f>VLOOKUP(B26,'[1]May 2013'!$A$8:$J$79,6,FALSE)</f>
        <v>827</v>
      </c>
      <c r="U26" s="119">
        <f>VLOOKUP(B26,'[1]May 2013'!$A$8:$J$79,10,FALSE)</f>
        <v>399.03</v>
      </c>
      <c r="V26" s="132">
        <v>2476</v>
      </c>
      <c r="W26" s="133">
        <f>146.24+651.52</f>
        <v>797.76</v>
      </c>
      <c r="X26" s="132">
        <v>2310</v>
      </c>
      <c r="Y26" s="133">
        <f>135.74+518.73+0.84</f>
        <v>655.3100000000001</v>
      </c>
      <c r="Z26" s="140">
        <v>1570</v>
      </c>
      <c r="AA26" s="119">
        <v>579.67</v>
      </c>
      <c r="AB26">
        <f t="shared" si="0"/>
        <v>16240</v>
      </c>
      <c r="AC26">
        <f t="shared" si="1"/>
        <v>6137.610000000001</v>
      </c>
    </row>
    <row r="27" spans="1:29" ht="12.75">
      <c r="A27" s="6" t="s">
        <v>14</v>
      </c>
      <c r="B27" s="51" t="s">
        <v>137</v>
      </c>
      <c r="C27" s="27" t="s">
        <v>106</v>
      </c>
      <c r="D27" s="17">
        <v>43600</v>
      </c>
      <c r="E27" s="3">
        <v>4954</v>
      </c>
      <c r="F27" s="17">
        <v>35600</v>
      </c>
      <c r="G27" s="54">
        <v>4799.72</v>
      </c>
      <c r="H27" s="17">
        <v>27600</v>
      </c>
      <c r="I27" s="3">
        <v>4349.96</v>
      </c>
      <c r="J27" s="27">
        <v>20800</v>
      </c>
      <c r="K27" s="6">
        <v>3915.57</v>
      </c>
      <c r="L27" s="80">
        <v>19047</v>
      </c>
      <c r="M27" s="102">
        <f>2106.58+1116.12</f>
        <v>3222.7</v>
      </c>
      <c r="N27" s="89">
        <v>14957</v>
      </c>
      <c r="O27" s="3">
        <f>877.92+1863.16</f>
        <v>2741.08</v>
      </c>
      <c r="P27" s="28">
        <v>23386</v>
      </c>
      <c r="Q27" s="6">
        <f>1380.16+3010.85</f>
        <v>4391.01</v>
      </c>
      <c r="R27" s="107">
        <v>23648</v>
      </c>
      <c r="S27" s="79">
        <f>1397.01+2583.12</f>
        <v>3980.13</v>
      </c>
      <c r="T27" s="17">
        <f>VLOOKUP(B27,'[1]May 2013'!$A$8:$J$79,6,FALSE)</f>
        <v>24242</v>
      </c>
      <c r="U27" s="119">
        <f>VLOOKUP(B27,'[1]May 2013'!$A$8:$J$79,10,FALSE)</f>
        <v>4252.18</v>
      </c>
      <c r="V27" s="132">
        <v>30073</v>
      </c>
      <c r="W27" s="133">
        <f>1776.78+2984.09</f>
        <v>4760.87</v>
      </c>
      <c r="X27" s="132">
        <v>32257</v>
      </c>
      <c r="Y27" s="133">
        <f>1895.66+3184.84+23.52</f>
        <v>5104.02</v>
      </c>
      <c r="Z27" s="140">
        <v>31364</v>
      </c>
      <c r="AA27" s="119">
        <v>4992.27</v>
      </c>
      <c r="AB27">
        <f t="shared" si="0"/>
        <v>326574</v>
      </c>
      <c r="AC27">
        <f t="shared" si="1"/>
        <v>51463.51000000001</v>
      </c>
    </row>
    <row r="28" spans="1:29" ht="12.75">
      <c r="A28" s="6" t="s">
        <v>15</v>
      </c>
      <c r="B28" s="51" t="s">
        <v>138</v>
      </c>
      <c r="C28" s="27" t="s">
        <v>107</v>
      </c>
      <c r="D28" s="17">
        <v>4854</v>
      </c>
      <c r="E28" s="3">
        <v>456.48</v>
      </c>
      <c r="F28" s="17">
        <v>2911</v>
      </c>
      <c r="G28" s="54">
        <v>333.78</v>
      </c>
      <c r="H28" s="17">
        <v>2154</v>
      </c>
      <c r="I28" s="3">
        <v>286.95</v>
      </c>
      <c r="J28" s="27">
        <v>3177</v>
      </c>
      <c r="K28" s="6">
        <v>374.43</v>
      </c>
      <c r="L28" s="94">
        <v>5693</v>
      </c>
      <c r="M28" s="26">
        <v>548.96</v>
      </c>
      <c r="N28" s="89">
        <v>3173</v>
      </c>
      <c r="O28" s="6">
        <v>392.31</v>
      </c>
      <c r="P28" s="28">
        <v>1297</v>
      </c>
      <c r="Q28" s="6">
        <f>76.71+201.36</f>
        <v>278.07</v>
      </c>
      <c r="R28" s="107">
        <v>1366</v>
      </c>
      <c r="S28" s="79">
        <f>80.91+81.63</f>
        <v>162.54</v>
      </c>
      <c r="T28" s="17">
        <f>VLOOKUP(B28,'[1]May 2013'!$A$8:$J$79,6,FALSE)</f>
        <v>1808</v>
      </c>
      <c r="U28" s="119">
        <f>VLOOKUP(B28,'[1]May 2013'!$A$8:$J$79,10,FALSE)</f>
        <v>210.79000000000002</v>
      </c>
      <c r="V28" s="132">
        <v>3199</v>
      </c>
      <c r="W28" s="133">
        <f>188.67+148.52+5.09</f>
        <v>342.28</v>
      </c>
      <c r="X28" s="134">
        <v>4667</v>
      </c>
      <c r="Y28" s="135">
        <v>419.36</v>
      </c>
      <c r="Z28" s="174">
        <v>4707</v>
      </c>
      <c r="AA28" s="146">
        <v>430.72</v>
      </c>
      <c r="AB28">
        <f t="shared" si="0"/>
        <v>39006</v>
      </c>
      <c r="AC28">
        <f t="shared" si="1"/>
        <v>4236.67</v>
      </c>
    </row>
    <row r="29" spans="1:29" ht="12.75">
      <c r="A29" s="6" t="s">
        <v>15</v>
      </c>
      <c r="B29" s="51" t="s">
        <v>139</v>
      </c>
      <c r="C29" s="27" t="s">
        <v>107</v>
      </c>
      <c r="D29" s="17">
        <v>50</v>
      </c>
      <c r="E29" s="3">
        <v>11.37</v>
      </c>
      <c r="F29" s="17">
        <v>50</v>
      </c>
      <c r="G29" s="54">
        <v>11.33</v>
      </c>
      <c r="H29" s="17">
        <v>50</v>
      </c>
      <c r="I29" s="3">
        <v>11.35</v>
      </c>
      <c r="J29" s="27">
        <v>50</v>
      </c>
      <c r="K29" s="6">
        <v>11.32</v>
      </c>
      <c r="L29" s="94">
        <v>50</v>
      </c>
      <c r="M29" s="26">
        <v>11.37</v>
      </c>
      <c r="N29" s="89">
        <v>50</v>
      </c>
      <c r="O29" s="6">
        <v>11.39</v>
      </c>
      <c r="P29" s="28">
        <v>50</v>
      </c>
      <c r="Q29" s="6">
        <f>2.97+8.45</f>
        <v>11.42</v>
      </c>
      <c r="R29" s="107">
        <v>50</v>
      </c>
      <c r="S29" s="79">
        <f>2.98+8.45</f>
        <v>11.43</v>
      </c>
      <c r="T29" s="17">
        <f>VLOOKUP(B29,'[1]May 2013'!$A$8:$J$79,6,FALSE)</f>
        <v>50</v>
      </c>
      <c r="U29" s="119">
        <f>VLOOKUP(B29,'[1]May 2013'!$A$8:$J$79,10,FALSE)</f>
        <v>11.52</v>
      </c>
      <c r="V29" s="132">
        <v>50</v>
      </c>
      <c r="W29" s="133">
        <f>2.94+8.45+0.07</f>
        <v>11.459999999999999</v>
      </c>
      <c r="X29" s="134">
        <v>50</v>
      </c>
      <c r="Y29" s="135">
        <v>11.37</v>
      </c>
      <c r="Z29" s="174">
        <v>50</v>
      </c>
      <c r="AA29" s="146">
        <v>11.38</v>
      </c>
      <c r="AB29">
        <f t="shared" si="0"/>
        <v>600</v>
      </c>
      <c r="AC29">
        <f t="shared" si="1"/>
        <v>136.70999999999998</v>
      </c>
    </row>
    <row r="30" spans="1:29" ht="12.75">
      <c r="A30" s="6" t="s">
        <v>16</v>
      </c>
      <c r="B30" s="51" t="s">
        <v>140</v>
      </c>
      <c r="C30" s="27" t="s">
        <v>108</v>
      </c>
      <c r="D30" s="17">
        <v>872</v>
      </c>
      <c r="E30" s="3">
        <v>99.74</v>
      </c>
      <c r="F30" s="17">
        <v>766</v>
      </c>
      <c r="G30" s="54">
        <v>86.15</v>
      </c>
      <c r="H30" s="17">
        <v>1034</v>
      </c>
      <c r="I30" s="3">
        <v>114.41</v>
      </c>
      <c r="J30" s="27">
        <v>1223</v>
      </c>
      <c r="K30" s="6">
        <v>133.3</v>
      </c>
      <c r="L30" s="88">
        <v>750</v>
      </c>
      <c r="M30" s="26">
        <v>84.61</v>
      </c>
      <c r="N30" s="89">
        <v>1475</v>
      </c>
      <c r="O30" s="6">
        <v>159.37</v>
      </c>
      <c r="P30" s="28">
        <v>3659</v>
      </c>
      <c r="Q30" s="6">
        <f>216.3+169.72</f>
        <v>386.02</v>
      </c>
      <c r="R30" s="70">
        <v>2529</v>
      </c>
      <c r="S30" s="6">
        <f>149.63+119.55</f>
        <v>269.18</v>
      </c>
      <c r="T30" s="17">
        <f>VLOOKUP(B30,'[1]May 2013'!$A$8:$J$79,6,FALSE)</f>
        <v>1153</v>
      </c>
      <c r="U30" s="119">
        <f>VLOOKUP(B30,'[1]May 2013'!$A$8:$J$79,10,FALSE)</f>
        <v>128.77</v>
      </c>
      <c r="V30" s="134">
        <v>1475</v>
      </c>
      <c r="W30" s="135">
        <f>72.75+86.89</f>
        <v>159.64</v>
      </c>
      <c r="X30" s="132">
        <v>674</v>
      </c>
      <c r="Y30" s="133">
        <f>39.6+37.19+1.94</f>
        <v>78.72999999999999</v>
      </c>
      <c r="Z30" s="140">
        <v>274</v>
      </c>
      <c r="AA30" s="119">
        <v>34.6</v>
      </c>
      <c r="AB30">
        <f t="shared" si="0"/>
        <v>15884</v>
      </c>
      <c r="AC30">
        <f t="shared" si="1"/>
        <v>1734.52</v>
      </c>
    </row>
    <row r="31" spans="1:29" ht="12.75">
      <c r="A31" s="6" t="s">
        <v>17</v>
      </c>
      <c r="B31" s="51" t="s">
        <v>141</v>
      </c>
      <c r="C31" s="27" t="s">
        <v>109</v>
      </c>
      <c r="D31" s="17">
        <v>12320</v>
      </c>
      <c r="E31" s="3">
        <v>1146.64</v>
      </c>
      <c r="F31" s="17">
        <v>6320</v>
      </c>
      <c r="G31" s="54">
        <v>774.16</v>
      </c>
      <c r="H31" s="17">
        <v>4960</v>
      </c>
      <c r="I31" s="3">
        <v>711.6</v>
      </c>
      <c r="J31" s="27">
        <v>2640</v>
      </c>
      <c r="K31" s="6">
        <v>541.83</v>
      </c>
      <c r="L31" s="94">
        <v>3640</v>
      </c>
      <c r="M31" s="26">
        <v>597.84</v>
      </c>
      <c r="N31" s="89">
        <v>3320</v>
      </c>
      <c r="O31" s="6">
        <v>586.58</v>
      </c>
      <c r="P31" s="28">
        <v>3280</v>
      </c>
      <c r="Q31" s="6">
        <f>193.74+388.83</f>
        <v>582.5699999999999</v>
      </c>
      <c r="R31" s="70">
        <v>2160</v>
      </c>
      <c r="S31" s="6">
        <f>127.59+384.59</f>
        <v>512.18</v>
      </c>
      <c r="T31" s="17">
        <f>VLOOKUP(B31,'[1]May 2013'!$A$8:$J$79,6,FALSE)</f>
        <v>4120</v>
      </c>
      <c r="U31" s="119">
        <f>VLOOKUP(B31,'[1]May 2013'!$A$8:$J$79,10,FALSE)</f>
        <v>652.13</v>
      </c>
      <c r="V31" s="134">
        <v>5880</v>
      </c>
      <c r="W31" s="135">
        <f>407.21+347.31</f>
        <v>754.52</v>
      </c>
      <c r="X31" s="132">
        <v>6800</v>
      </c>
      <c r="Y31" s="133">
        <f>399.6+410.66+4.27</f>
        <v>814.53</v>
      </c>
      <c r="Z31" s="140">
        <v>10200</v>
      </c>
      <c r="AA31" s="119">
        <v>1022.23</v>
      </c>
      <c r="AB31">
        <f t="shared" si="0"/>
        <v>65640</v>
      </c>
      <c r="AC31">
        <f t="shared" si="1"/>
        <v>8696.810000000001</v>
      </c>
    </row>
    <row r="32" spans="1:29" ht="12.75">
      <c r="A32" s="6" t="s">
        <v>18</v>
      </c>
      <c r="B32" s="51" t="s">
        <v>142</v>
      </c>
      <c r="C32" s="28" t="s">
        <v>110</v>
      </c>
      <c r="D32" s="17">
        <v>4204</v>
      </c>
      <c r="E32" s="3">
        <v>426.5</v>
      </c>
      <c r="F32" s="17">
        <v>3197</v>
      </c>
      <c r="G32" s="54">
        <v>351.08</v>
      </c>
      <c r="H32" s="17">
        <v>3066</v>
      </c>
      <c r="I32" s="3">
        <v>346.33</v>
      </c>
      <c r="J32" s="27">
        <v>2727</v>
      </c>
      <c r="K32" s="6">
        <v>320.81</v>
      </c>
      <c r="L32" s="94">
        <v>3487</v>
      </c>
      <c r="M32" s="26">
        <v>402.88</v>
      </c>
      <c r="N32" s="89">
        <v>3157</v>
      </c>
      <c r="O32" s="6">
        <v>357.27</v>
      </c>
      <c r="P32" s="28">
        <v>2173</v>
      </c>
      <c r="Q32" s="6">
        <f>128.34+127.52</f>
        <v>255.86</v>
      </c>
      <c r="R32" s="70">
        <v>2191</v>
      </c>
      <c r="S32" s="6">
        <f>129.42+127.59</f>
        <v>257.01</v>
      </c>
      <c r="T32" s="17">
        <f>VLOOKUP(B32,'[1]May 2013'!$A$8:$J$79,6,FALSE)</f>
        <v>2440</v>
      </c>
      <c r="U32" s="119">
        <f>VLOOKUP(B32,'[1]May 2013'!$A$8:$J$79,10,FALSE)</f>
        <v>285.86</v>
      </c>
      <c r="V32" s="132">
        <v>2312</v>
      </c>
      <c r="W32" s="133">
        <f>136.58+128.04</f>
        <v>264.62</v>
      </c>
      <c r="X32" s="132">
        <v>2855</v>
      </c>
      <c r="Y32" s="133">
        <f>167.77+147.24+3.91</f>
        <v>318.92</v>
      </c>
      <c r="Z32" s="140">
        <v>2661</v>
      </c>
      <c r="AA32" s="119">
        <v>302.2</v>
      </c>
      <c r="AB32">
        <f t="shared" si="0"/>
        <v>34470</v>
      </c>
      <c r="AC32">
        <f t="shared" si="1"/>
        <v>3889.3399999999997</v>
      </c>
    </row>
    <row r="33" spans="1:29" ht="12.75">
      <c r="A33" s="6" t="s">
        <v>19</v>
      </c>
      <c r="B33" s="51" t="s">
        <v>143</v>
      </c>
      <c r="C33" s="28" t="s">
        <v>111</v>
      </c>
      <c r="D33" s="17">
        <v>9920</v>
      </c>
      <c r="E33" s="3">
        <v>1047.83</v>
      </c>
      <c r="F33" s="17">
        <v>9480</v>
      </c>
      <c r="G33" s="54">
        <v>1014.25</v>
      </c>
      <c r="H33" s="17">
        <v>8640</v>
      </c>
      <c r="I33" s="3">
        <v>951.91</v>
      </c>
      <c r="J33" s="27">
        <v>8240</v>
      </c>
      <c r="K33" s="6">
        <v>851.16</v>
      </c>
      <c r="L33" s="94">
        <v>6680</v>
      </c>
      <c r="M33" s="26">
        <v>758.84</v>
      </c>
      <c r="N33" s="89">
        <v>8520</v>
      </c>
      <c r="O33" s="6">
        <v>870.31</v>
      </c>
      <c r="P33" s="28">
        <v>7720</v>
      </c>
      <c r="Q33" s="6">
        <f>455.95+369.86</f>
        <v>825.81</v>
      </c>
      <c r="R33" s="70">
        <v>7080</v>
      </c>
      <c r="S33" s="6">
        <f>418.23+356.58</f>
        <v>774.81</v>
      </c>
      <c r="T33" s="17">
        <f>VLOOKUP(B33,'[1]May 2013'!$A$8:$J$79,6,FALSE)</f>
        <v>8600</v>
      </c>
      <c r="U33" s="119">
        <f>VLOOKUP(B33,'[1]May 2013'!$A$8:$J$79,10,FALSE)</f>
        <v>903.4399999999999</v>
      </c>
      <c r="V33" s="132">
        <v>8040</v>
      </c>
      <c r="W33" s="133">
        <f>474.9+415.33</f>
        <v>890.23</v>
      </c>
      <c r="X33" s="132">
        <v>5760</v>
      </c>
      <c r="Y33" s="133">
        <f>338.49+338.55+9.76</f>
        <v>686.8</v>
      </c>
      <c r="Z33" s="140">
        <v>5640</v>
      </c>
      <c r="AA33" s="119">
        <v>665.08</v>
      </c>
      <c r="AB33">
        <f t="shared" si="0"/>
        <v>94320</v>
      </c>
      <c r="AC33">
        <f t="shared" si="1"/>
        <v>10240.469999999998</v>
      </c>
    </row>
    <row r="34" spans="1:29" ht="12.75">
      <c r="A34" s="6" t="s">
        <v>205</v>
      </c>
      <c r="B34" s="50" t="s">
        <v>144</v>
      </c>
      <c r="C34" s="27" t="s">
        <v>206</v>
      </c>
      <c r="D34" s="17">
        <v>480</v>
      </c>
      <c r="E34" s="3">
        <v>272.41</v>
      </c>
      <c r="F34" s="17">
        <v>440</v>
      </c>
      <c r="G34" s="54">
        <v>269.19</v>
      </c>
      <c r="H34" s="17">
        <v>680</v>
      </c>
      <c r="I34" s="3">
        <v>379.57</v>
      </c>
      <c r="J34" s="27">
        <v>440</v>
      </c>
      <c r="K34" s="6">
        <v>269.16</v>
      </c>
      <c r="L34" s="94">
        <v>440</v>
      </c>
      <c r="M34" s="26">
        <v>269.9</v>
      </c>
      <c r="N34" s="89">
        <v>440</v>
      </c>
      <c r="O34" s="6">
        <v>284.08</v>
      </c>
      <c r="P34" s="28">
        <v>440</v>
      </c>
      <c r="Q34" s="109">
        <f>25.98+279.12</f>
        <v>305.1</v>
      </c>
      <c r="R34" s="70">
        <v>640</v>
      </c>
      <c r="S34" s="6">
        <f>37.81+378.88</f>
        <v>416.69</v>
      </c>
      <c r="T34" s="17">
        <f>VLOOKUP(B34,'[1]May 2013'!$A$8:$J$79,6,FALSE)</f>
        <v>880</v>
      </c>
      <c r="U34" s="119">
        <f>VLOOKUP(B34,'[1]May 2013'!$A$8:$J$79,10,FALSE)</f>
        <v>433.27000000000004</v>
      </c>
      <c r="V34" s="132">
        <v>680</v>
      </c>
      <c r="W34" s="133">
        <f>40.17+396.16</f>
        <v>436.33000000000004</v>
      </c>
      <c r="X34" s="132">
        <v>360</v>
      </c>
      <c r="Y34" s="133">
        <f>21.16+254.24+0.56</f>
        <v>275.96000000000004</v>
      </c>
      <c r="Z34" s="140">
        <v>280</v>
      </c>
      <c r="AA34" s="119">
        <v>270.21</v>
      </c>
      <c r="AB34">
        <f t="shared" si="0"/>
        <v>6200</v>
      </c>
      <c r="AC34">
        <f t="shared" si="1"/>
        <v>3881.87</v>
      </c>
    </row>
    <row r="35" spans="1:29" s="38" customFormat="1" ht="12.75">
      <c r="A35" s="6" t="s">
        <v>21</v>
      </c>
      <c r="B35" s="51" t="s">
        <v>145</v>
      </c>
      <c r="C35" s="41" t="s">
        <v>113</v>
      </c>
      <c r="D35" s="17">
        <v>673</v>
      </c>
      <c r="E35" s="3">
        <v>110.21</v>
      </c>
      <c r="F35" s="17">
        <v>779</v>
      </c>
      <c r="G35" s="54">
        <v>182.87</v>
      </c>
      <c r="H35" s="17">
        <v>1296</v>
      </c>
      <c r="I35" s="3">
        <v>216.18</v>
      </c>
      <c r="J35" s="27">
        <v>1219</v>
      </c>
      <c r="K35" s="57">
        <v>252.69</v>
      </c>
      <c r="L35" s="94">
        <v>1214</v>
      </c>
      <c r="M35" s="26">
        <v>252.69</v>
      </c>
      <c r="N35" s="89">
        <v>2578</v>
      </c>
      <c r="O35" s="3">
        <v>321.1</v>
      </c>
      <c r="P35" s="89">
        <v>1950</v>
      </c>
      <c r="Q35" s="6">
        <f>115.17+143.84</f>
        <v>259.01</v>
      </c>
      <c r="R35" s="70">
        <v>1077</v>
      </c>
      <c r="S35" s="6">
        <f>63.63+174.82</f>
        <v>238.45</v>
      </c>
      <c r="T35" s="17">
        <f>VLOOKUP(B35,'[1]May 2013'!$A$8:$J$79,6,FALSE)</f>
        <v>1177</v>
      </c>
      <c r="U35" s="119">
        <f>VLOOKUP(B35,'[1]May 2013'!$A$8:$J$79,10,FALSE)</f>
        <v>255.33</v>
      </c>
      <c r="V35" s="132">
        <v>886</v>
      </c>
      <c r="W35" s="133">
        <f>52.34+182.67</f>
        <v>235.01</v>
      </c>
      <c r="X35" s="132">
        <v>261</v>
      </c>
      <c r="Y35" s="133">
        <f>15.34+60.33+2.36</f>
        <v>78.03</v>
      </c>
      <c r="Z35" s="140">
        <v>678</v>
      </c>
      <c r="AA35" s="119">
        <v>118.47</v>
      </c>
      <c r="AB35">
        <f t="shared" si="0"/>
        <v>13788</v>
      </c>
      <c r="AC35">
        <f t="shared" si="1"/>
        <v>2520.04</v>
      </c>
    </row>
    <row r="36" spans="1:29" s="38" customFormat="1" ht="12.75">
      <c r="A36" s="38" t="s">
        <v>151</v>
      </c>
      <c r="B36" s="50" t="s">
        <v>152</v>
      </c>
      <c r="C36" s="27" t="s">
        <v>153</v>
      </c>
      <c r="D36" s="17">
        <v>0</v>
      </c>
      <c r="E36" s="58">
        <v>13.34</v>
      </c>
      <c r="F36" s="17">
        <v>0</v>
      </c>
      <c r="G36" s="74">
        <v>13.34</v>
      </c>
      <c r="H36" s="17">
        <v>0</v>
      </c>
      <c r="I36" s="58">
        <v>13.34</v>
      </c>
      <c r="J36" s="27">
        <v>0</v>
      </c>
      <c r="K36" s="57">
        <v>13.34</v>
      </c>
      <c r="L36" s="94">
        <v>0</v>
      </c>
      <c r="M36" s="87">
        <v>15.45</v>
      </c>
      <c r="N36" s="89">
        <v>0</v>
      </c>
      <c r="O36" s="57">
        <v>15.36</v>
      </c>
      <c r="P36" s="107">
        <v>0</v>
      </c>
      <c r="Q36" s="57">
        <v>15.36</v>
      </c>
      <c r="R36" s="107">
        <v>0</v>
      </c>
      <c r="S36" s="79">
        <v>15.36</v>
      </c>
      <c r="T36" s="17">
        <f>VLOOKUP(B36,'[1]May 2013'!$A$8:$J$79,6,FALSE)</f>
        <v>0</v>
      </c>
      <c r="U36" s="119">
        <f>VLOOKUP(B36,'[1]May 2013'!$A$8:$J$79,10,FALSE)</f>
        <v>15.36</v>
      </c>
      <c r="V36" s="132">
        <v>0</v>
      </c>
      <c r="W36" s="133">
        <v>15.36</v>
      </c>
      <c r="X36" s="134">
        <v>0</v>
      </c>
      <c r="Y36" s="135">
        <v>15.36</v>
      </c>
      <c r="Z36" s="174">
        <v>0</v>
      </c>
      <c r="AA36" s="145">
        <v>15.36</v>
      </c>
      <c r="AB36">
        <f t="shared" si="0"/>
        <v>0</v>
      </c>
      <c r="AC36">
        <f t="shared" si="1"/>
        <v>176.33000000000004</v>
      </c>
    </row>
    <row r="37" spans="1:29" ht="12.75">
      <c r="A37" s="6" t="s">
        <v>181</v>
      </c>
      <c r="B37" s="50" t="s">
        <v>182</v>
      </c>
      <c r="C37" s="27" t="s">
        <v>183</v>
      </c>
      <c r="D37" s="17">
        <v>236</v>
      </c>
      <c r="E37" s="3">
        <v>39.3</v>
      </c>
      <c r="F37" s="17">
        <v>193</v>
      </c>
      <c r="G37" s="54">
        <v>34.39</v>
      </c>
      <c r="H37" s="17">
        <v>244</v>
      </c>
      <c r="I37" s="3">
        <v>40.1</v>
      </c>
      <c r="J37" s="27">
        <v>262</v>
      </c>
      <c r="K37" s="6">
        <v>41.86</v>
      </c>
      <c r="L37" s="94">
        <v>256</v>
      </c>
      <c r="M37" s="26">
        <v>43.27</v>
      </c>
      <c r="N37" s="89">
        <v>266</v>
      </c>
      <c r="O37" s="3">
        <v>44.3</v>
      </c>
      <c r="P37" s="89">
        <v>238</v>
      </c>
      <c r="Q37" s="57">
        <f>14.07+27.07</f>
        <v>41.14</v>
      </c>
      <c r="R37" s="70">
        <v>243</v>
      </c>
      <c r="S37" s="6">
        <f>14.37+27.31</f>
        <v>41.68</v>
      </c>
      <c r="T37" s="17">
        <f>VLOOKUP(B37,'[1]May 2013'!$A$8:$J$79,6,FALSE)</f>
        <v>279</v>
      </c>
      <c r="U37" s="119">
        <f>VLOOKUP(B37,'[1]May 2013'!$A$8:$J$79,10,FALSE)</f>
        <v>46.11</v>
      </c>
      <c r="V37" s="132">
        <v>248</v>
      </c>
      <c r="W37" s="133">
        <f>14.6+27.57</f>
        <v>42.17</v>
      </c>
      <c r="X37" s="132">
        <v>267</v>
      </c>
      <c r="Y37" s="133">
        <f>15.68+28.49+0.33</f>
        <v>44.5</v>
      </c>
      <c r="Z37" s="140">
        <v>236</v>
      </c>
      <c r="AA37" s="119">
        <v>40.72</v>
      </c>
      <c r="AB37">
        <f t="shared" si="0"/>
        <v>2968</v>
      </c>
      <c r="AC37">
        <f t="shared" si="1"/>
        <v>499.53999999999996</v>
      </c>
    </row>
    <row r="38" spans="1:29" ht="12.75">
      <c r="A38" s="26" t="s">
        <v>210</v>
      </c>
      <c r="B38" s="51" t="s">
        <v>211</v>
      </c>
      <c r="C38" s="27" t="s">
        <v>212</v>
      </c>
      <c r="D38" s="17">
        <v>1016</v>
      </c>
      <c r="E38" s="3">
        <v>123.14</v>
      </c>
      <c r="F38" s="17">
        <v>1066</v>
      </c>
      <c r="G38" s="54">
        <v>116.57</v>
      </c>
      <c r="H38" s="17">
        <v>813</v>
      </c>
      <c r="I38" s="3">
        <v>110</v>
      </c>
      <c r="J38" s="27">
        <v>685</v>
      </c>
      <c r="K38" s="6">
        <v>92.61</v>
      </c>
      <c r="L38" s="94">
        <v>761</v>
      </c>
      <c r="M38" s="26">
        <v>106.44</v>
      </c>
      <c r="N38" s="89">
        <v>668</v>
      </c>
      <c r="O38" s="6">
        <v>109.08</v>
      </c>
      <c r="P38" s="94">
        <v>827</v>
      </c>
      <c r="Q38" s="57">
        <f>48.87+71.04</f>
        <v>119.91</v>
      </c>
      <c r="R38" s="70">
        <v>1025</v>
      </c>
      <c r="S38" s="57">
        <f>60.6+106.05</f>
        <v>166.65</v>
      </c>
      <c r="T38" s="17">
        <f>VLOOKUP(B38,'[1]May 2013'!$A$8:$J$79,6,FALSE)</f>
        <v>1063</v>
      </c>
      <c r="U38" s="119">
        <f>VLOOKUP(B38,'[1]May 2013'!$A$8:$J$79,10,FALSE)</f>
        <v>162.35999999999999</v>
      </c>
      <c r="V38" s="132">
        <v>1275</v>
      </c>
      <c r="W38" s="133">
        <f>75.19+115.56</f>
        <v>190.75</v>
      </c>
      <c r="X38" s="132">
        <v>1008</v>
      </c>
      <c r="Y38" s="133">
        <f>59.22+114.56+0.92</f>
        <v>174.7</v>
      </c>
      <c r="Z38" s="140">
        <v>780</v>
      </c>
      <c r="AA38" s="119">
        <v>159.23</v>
      </c>
      <c r="AB38">
        <f t="shared" si="0"/>
        <v>10987</v>
      </c>
      <c r="AC38">
        <f t="shared" si="1"/>
        <v>1631.44</v>
      </c>
    </row>
    <row r="39" spans="1:29" ht="12.75">
      <c r="A39" s="26" t="s">
        <v>208</v>
      </c>
      <c r="B39" s="51" t="s">
        <v>209</v>
      </c>
      <c r="C39" s="27" t="s">
        <v>207</v>
      </c>
      <c r="D39" s="17">
        <v>69900</v>
      </c>
      <c r="E39" s="10">
        <v>9595.83</v>
      </c>
      <c r="F39" s="17">
        <v>41700</v>
      </c>
      <c r="G39" s="90">
        <v>6428.95</v>
      </c>
      <c r="H39" s="17">
        <v>6300</v>
      </c>
      <c r="I39" s="10">
        <v>6094.8</v>
      </c>
      <c r="J39" s="27">
        <v>27300</v>
      </c>
      <c r="K39" s="91">
        <f>5322.89</f>
        <v>5322.89</v>
      </c>
      <c r="L39" s="80">
        <v>31330</v>
      </c>
      <c r="M39" s="105">
        <f>7368.74-1900.57</f>
        <v>5468.17</v>
      </c>
      <c r="N39" s="80">
        <v>27330</v>
      </c>
      <c r="O39" s="104">
        <f>1736.85+3459.07</f>
        <v>5195.92</v>
      </c>
      <c r="P39" s="107">
        <v>23310</v>
      </c>
      <c r="Q39" s="79">
        <f>3464.14+1490.39</f>
        <v>4954.53</v>
      </c>
      <c r="R39" s="107">
        <v>15820</v>
      </c>
      <c r="S39" s="79">
        <f>1012.24+3315.71</f>
        <v>4327.95</v>
      </c>
      <c r="T39" s="17">
        <f>VLOOKUP(B39,'[1]May 2013'!$A$8:$J$79,6,FALSE)</f>
        <v>22859</v>
      </c>
      <c r="U39" s="119">
        <f>VLOOKUP(B39,'[1]May 2013'!$A$8:$J$79,10,FALSE)</f>
        <v>5335.5</v>
      </c>
      <c r="V39" s="132">
        <v>38937</v>
      </c>
      <c r="W39" s="133">
        <f>2486.27+4018.19</f>
        <v>6504.46</v>
      </c>
      <c r="X39" s="132">
        <v>64215</v>
      </c>
      <c r="Y39" s="133">
        <f>4084.34+4051.64+38.84</f>
        <v>8174.82</v>
      </c>
      <c r="Z39" s="140">
        <v>57061</v>
      </c>
      <c r="AA39" s="119">
        <v>7670.47</v>
      </c>
      <c r="AB39">
        <f t="shared" si="0"/>
        <v>426062</v>
      </c>
      <c r="AC39">
        <f t="shared" si="1"/>
        <v>75074.29</v>
      </c>
    </row>
    <row r="40" spans="1:33" s="61" customFormat="1" ht="12.75">
      <c r="A40" s="59"/>
      <c r="B40" s="60"/>
      <c r="D40" s="95">
        <f aca="true" t="shared" si="2" ref="D40:I40">SUM(D4:D39)</f>
        <v>538558.95</v>
      </c>
      <c r="E40" s="97">
        <f t="shared" si="2"/>
        <v>61357.75000000002</v>
      </c>
      <c r="F40" s="95">
        <f t="shared" si="2"/>
        <v>415505.16000000003</v>
      </c>
      <c r="G40" s="97">
        <f t="shared" si="2"/>
        <v>51996.62</v>
      </c>
      <c r="H40" s="95">
        <f t="shared" si="2"/>
        <v>333636.16000000003</v>
      </c>
      <c r="I40" s="97">
        <f t="shared" si="2"/>
        <v>49003.6</v>
      </c>
      <c r="J40" s="95">
        <f aca="true" t="shared" si="3" ref="J40:AA40">SUM(J4:J39)</f>
        <v>306729.1349</v>
      </c>
      <c r="K40" s="97">
        <f t="shared" si="3"/>
        <v>45325.450000000004</v>
      </c>
      <c r="L40" s="95">
        <f t="shared" si="3"/>
        <v>302285.2548</v>
      </c>
      <c r="M40" s="97">
        <f t="shared" si="3"/>
        <v>43067.54999999999</v>
      </c>
      <c r="N40" s="95">
        <f t="shared" si="3"/>
        <v>349227.73470000003</v>
      </c>
      <c r="O40" s="95">
        <f t="shared" si="3"/>
        <v>44961.51</v>
      </c>
      <c r="P40" s="95">
        <f t="shared" si="3"/>
        <v>313918.4298</v>
      </c>
      <c r="Q40" s="95">
        <f t="shared" si="3"/>
        <v>42919.049999999996</v>
      </c>
      <c r="R40" s="95">
        <f t="shared" si="3"/>
        <v>282159.40989999997</v>
      </c>
      <c r="S40" s="95">
        <f>SUM(S4:S39)</f>
        <v>41546.97999999999</v>
      </c>
      <c r="T40" s="95">
        <f t="shared" si="3"/>
        <v>332059.155</v>
      </c>
      <c r="U40" s="95">
        <f t="shared" si="3"/>
        <v>45343.91999999999</v>
      </c>
      <c r="V40" s="127">
        <f t="shared" si="3"/>
        <v>354718.405</v>
      </c>
      <c r="W40" s="127">
        <f t="shared" si="3"/>
        <v>47942.39000000001</v>
      </c>
      <c r="X40" s="127">
        <f t="shared" si="3"/>
        <v>365244.595</v>
      </c>
      <c r="Y40" s="127">
        <f t="shared" si="3"/>
        <v>45376.61</v>
      </c>
      <c r="Z40" s="141">
        <f t="shared" si="3"/>
        <v>377596.985</v>
      </c>
      <c r="AA40" s="95">
        <f t="shared" si="3"/>
        <v>48626.560000000005</v>
      </c>
      <c r="AB40" s="96">
        <f>SUM(AB4:AB39)</f>
        <v>4271639.3741</v>
      </c>
      <c r="AC40" s="95">
        <f>SUM(AC4:AC39)</f>
        <v>567467.99</v>
      </c>
      <c r="AD40" s="59"/>
      <c r="AE40" s="59"/>
      <c r="AF40" s="59"/>
      <c r="AG40" s="59"/>
    </row>
    <row r="42" spans="18:27" ht="12.75">
      <c r="R42" s="113"/>
      <c r="U42" s="115"/>
      <c r="V42" s="128"/>
      <c r="W42" s="129"/>
      <c r="X42" s="128"/>
      <c r="Z42" s="114" t="s">
        <v>227</v>
      </c>
      <c r="AA42" s="113"/>
    </row>
    <row r="43" spans="1:27" ht="12.75" customHeight="1">
      <c r="A43" s="225" t="s">
        <v>225</v>
      </c>
      <c r="B43" s="226"/>
      <c r="C43" s="226"/>
      <c r="D43" s="226"/>
      <c r="E43" s="227"/>
      <c r="R43" s="113"/>
      <c r="U43" s="115"/>
      <c r="V43" s="128"/>
      <c r="W43" s="129"/>
      <c r="X43" s="128"/>
      <c r="Z43" s="116">
        <v>60452.76</v>
      </c>
      <c r="AA43" s="113" t="s">
        <v>226</v>
      </c>
    </row>
    <row r="44" spans="1:27" ht="12.75">
      <c r="A44" s="228"/>
      <c r="B44" s="229"/>
      <c r="C44" s="229"/>
      <c r="D44" s="229"/>
      <c r="E44" s="230"/>
      <c r="R44" s="113"/>
      <c r="U44" s="115"/>
      <c r="V44" s="128"/>
      <c r="W44" s="129"/>
      <c r="X44" s="128"/>
      <c r="Z44" s="116">
        <v>-12731.27</v>
      </c>
      <c r="AA44" s="118" t="s">
        <v>229</v>
      </c>
    </row>
    <row r="45" spans="1:27" ht="12.75">
      <c r="A45" s="228"/>
      <c r="B45" s="229"/>
      <c r="C45" s="229"/>
      <c r="D45" s="229"/>
      <c r="E45" s="230"/>
      <c r="R45" s="113"/>
      <c r="U45" s="115"/>
      <c r="V45" s="128"/>
      <c r="W45" s="129"/>
      <c r="X45" s="128"/>
      <c r="Z45" s="117">
        <v>0</v>
      </c>
      <c r="AA45" s="113" t="s">
        <v>228</v>
      </c>
    </row>
    <row r="46" spans="1:27" ht="12.75">
      <c r="A46" s="228"/>
      <c r="B46" s="229"/>
      <c r="C46" s="229"/>
      <c r="D46" s="229"/>
      <c r="E46" s="230"/>
      <c r="Z46" s="116">
        <f>SUM(Z43:Z45)</f>
        <v>47721.490000000005</v>
      </c>
      <c r="AA46" s="113" t="s">
        <v>230</v>
      </c>
    </row>
    <row r="47" spans="1:5" ht="12.75">
      <c r="A47" s="228"/>
      <c r="B47" s="229"/>
      <c r="C47" s="229"/>
      <c r="D47" s="229"/>
      <c r="E47" s="230"/>
    </row>
    <row r="48" spans="1:5" ht="12.75">
      <c r="A48" s="228"/>
      <c r="B48" s="229"/>
      <c r="C48" s="229"/>
      <c r="D48" s="229"/>
      <c r="E48" s="230"/>
    </row>
    <row r="49" spans="1:5" ht="12.75">
      <c r="A49" s="231"/>
      <c r="B49" s="232"/>
      <c r="C49" s="232"/>
      <c r="D49" s="232"/>
      <c r="E49" s="233"/>
    </row>
    <row r="50" spans="1:5" ht="12.75">
      <c r="A50" s="111"/>
      <c r="C50" s="111"/>
      <c r="D50" s="111"/>
      <c r="E50" s="112"/>
    </row>
    <row r="51" spans="1:5" ht="12.75">
      <c r="A51" s="111"/>
      <c r="C51" s="111"/>
      <c r="D51" s="111"/>
      <c r="E51" s="112"/>
    </row>
    <row r="52" spans="1:5" ht="12.75">
      <c r="A52" s="111"/>
      <c r="C52" s="111"/>
      <c r="D52" s="111"/>
      <c r="E52" s="112"/>
    </row>
    <row r="63813" spans="18:21" ht="12.75">
      <c r="R63813" s="66"/>
      <c r="S63813" s="3"/>
      <c r="U63813" s="3"/>
    </row>
    <row r="63815" ht="12.75">
      <c r="P63815" t="e">
        <f>SUM(#REF!)</f>
        <v>#REF!</v>
      </c>
    </row>
  </sheetData>
  <sheetProtection/>
  <mergeCells count="13">
    <mergeCell ref="Z1:AA1"/>
    <mergeCell ref="N1:O1"/>
    <mergeCell ref="P1:Q1"/>
    <mergeCell ref="R1:S1"/>
    <mergeCell ref="T1:U1"/>
    <mergeCell ref="V1:W1"/>
    <mergeCell ref="X1:Y1"/>
    <mergeCell ref="D1:E1"/>
    <mergeCell ref="F1:G1"/>
    <mergeCell ref="H1:I1"/>
    <mergeCell ref="J1:K1"/>
    <mergeCell ref="L1:M1"/>
    <mergeCell ref="A43:E49"/>
  </mergeCells>
  <printOptions/>
  <pageMargins left="0.25" right="0.25" top="0.75" bottom="0.75" header="0.3" footer="0.3"/>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AG63815"/>
  <sheetViews>
    <sheetView tabSelected="1" zoomScale="80" zoomScaleNormal="80" zoomScalePageLayoutView="0" workbookViewId="0" topLeftCell="A1">
      <pane xSplit="3" ySplit="2" topLeftCell="U3" activePane="bottomRight" state="frozen"/>
      <selection pane="topLeft" activeCell="A1" sqref="A1"/>
      <selection pane="topRight" activeCell="D1" sqref="D1"/>
      <selection pane="bottomLeft" activeCell="A3" sqref="A3"/>
      <selection pane="bottomRight" activeCell="Z1" sqref="Z1:AA1"/>
    </sheetView>
  </sheetViews>
  <sheetFormatPr defaultColWidth="9.140625" defaultRowHeight="12.75"/>
  <cols>
    <col min="1" max="1" width="20.00390625" style="6" customWidth="1"/>
    <col min="2" max="2" width="20.00390625" style="50" customWidth="1"/>
    <col min="3" max="3" width="26.421875" style="38" customWidth="1"/>
    <col min="4" max="4" width="13.421875" style="169" bestFit="1" customWidth="1"/>
    <col min="5" max="5" width="12.28125" style="3" bestFit="1" customWidth="1"/>
    <col min="6" max="6" width="13.8515625" style="169" customWidth="1"/>
    <col min="7" max="7" width="12.28125" style="6" customWidth="1"/>
    <col min="8" max="8" width="13.140625" style="169" customWidth="1"/>
    <col min="9" max="9" width="12.28125" style="6" customWidth="1"/>
    <col min="10" max="10" width="13.140625" style="169" customWidth="1"/>
    <col min="11" max="11" width="13.7109375" style="6" customWidth="1"/>
    <col min="12" max="12" width="12.28125" style="169" customWidth="1"/>
    <col min="13" max="13" width="12.28125" style="6" customWidth="1"/>
    <col min="14" max="14" width="13.7109375" style="169" customWidth="1"/>
    <col min="15" max="15" width="11.28125" style="6" bestFit="1" customWidth="1"/>
    <col min="16" max="16" width="12.28125" style="169" bestFit="1" customWidth="1"/>
    <col min="17" max="17" width="11.28125" style="6" bestFit="1" customWidth="1"/>
    <col min="18" max="18" width="13.8515625" style="169" customWidth="1"/>
    <col min="19" max="19" width="13.421875" style="6" customWidth="1"/>
    <col min="20" max="20" width="14.140625" style="169" customWidth="1"/>
    <col min="21" max="21" width="13.57421875" style="6" customWidth="1"/>
    <col min="22" max="22" width="13.421875" style="179" customWidth="1"/>
    <col min="23" max="23" width="11.00390625" style="126" customWidth="1"/>
    <col min="24" max="24" width="13.421875" style="179" bestFit="1" customWidth="1"/>
    <col min="25" max="25" width="11.28125" style="126" bestFit="1" customWidth="1"/>
    <col min="26" max="26" width="13.421875" style="142" customWidth="1"/>
    <col min="27" max="27" width="13.28125" style="119" customWidth="1"/>
    <col min="28" max="28" width="13.8515625" style="0" bestFit="1" customWidth="1"/>
    <col min="29" max="29" width="12.00390625" style="0" customWidth="1"/>
  </cols>
  <sheetData>
    <row r="1" spans="1:28" s="154" customFormat="1" ht="12.75">
      <c r="A1" s="11"/>
      <c r="B1" s="47"/>
      <c r="C1" s="12"/>
      <c r="D1" s="238" t="s">
        <v>231</v>
      </c>
      <c r="E1" s="239"/>
      <c r="F1" s="240" t="s">
        <v>232</v>
      </c>
      <c r="G1" s="239"/>
      <c r="H1" s="240" t="s">
        <v>233</v>
      </c>
      <c r="I1" s="239"/>
      <c r="J1" s="236" t="s">
        <v>234</v>
      </c>
      <c r="K1" s="237"/>
      <c r="L1" s="236" t="s">
        <v>235</v>
      </c>
      <c r="M1" s="237"/>
      <c r="N1" s="236" t="s">
        <v>236</v>
      </c>
      <c r="O1" s="237"/>
      <c r="P1" s="236" t="s">
        <v>237</v>
      </c>
      <c r="Q1" s="237"/>
      <c r="R1" s="236" t="s">
        <v>238</v>
      </c>
      <c r="S1" s="237"/>
      <c r="T1" s="236" t="s">
        <v>239</v>
      </c>
      <c r="U1" s="237"/>
      <c r="V1" s="236" t="s">
        <v>240</v>
      </c>
      <c r="W1" s="237"/>
      <c r="X1" s="236" t="s">
        <v>241</v>
      </c>
      <c r="Y1" s="237"/>
      <c r="Z1" s="236" t="s">
        <v>242</v>
      </c>
      <c r="AA1" s="237"/>
      <c r="AB1" s="154" t="s">
        <v>37</v>
      </c>
    </row>
    <row r="2" spans="1:29" s="160" customFormat="1" ht="12.75">
      <c r="A2" s="14" t="s">
        <v>0</v>
      </c>
      <c r="B2" s="48"/>
      <c r="C2" s="15" t="s">
        <v>87</v>
      </c>
      <c r="D2" s="166" t="s">
        <v>35</v>
      </c>
      <c r="E2" s="156" t="s">
        <v>36</v>
      </c>
      <c r="F2" s="166" t="s">
        <v>35</v>
      </c>
      <c r="G2" s="157" t="s">
        <v>36</v>
      </c>
      <c r="H2" s="166" t="s">
        <v>35</v>
      </c>
      <c r="I2" s="156" t="s">
        <v>36</v>
      </c>
      <c r="J2" s="166" t="s">
        <v>35</v>
      </c>
      <c r="K2" s="157" t="s">
        <v>36</v>
      </c>
      <c r="L2" s="166" t="s">
        <v>35</v>
      </c>
      <c r="M2" s="156" t="s">
        <v>36</v>
      </c>
      <c r="N2" s="166" t="s">
        <v>35</v>
      </c>
      <c r="O2" s="156" t="s">
        <v>36</v>
      </c>
      <c r="P2" s="166" t="s">
        <v>35</v>
      </c>
      <c r="Q2" s="156" t="s">
        <v>36</v>
      </c>
      <c r="R2" s="166" t="s">
        <v>35</v>
      </c>
      <c r="S2" s="156" t="s">
        <v>36</v>
      </c>
      <c r="T2" s="166" t="s">
        <v>35</v>
      </c>
      <c r="U2" s="156" t="s">
        <v>36</v>
      </c>
      <c r="V2" s="166" t="s">
        <v>35</v>
      </c>
      <c r="W2" s="156" t="s">
        <v>36</v>
      </c>
      <c r="X2" s="166" t="s">
        <v>35</v>
      </c>
      <c r="Y2" s="156" t="s">
        <v>36</v>
      </c>
      <c r="Z2" s="158" t="s">
        <v>35</v>
      </c>
      <c r="AA2" s="159" t="s">
        <v>36</v>
      </c>
      <c r="AB2" s="155" t="s">
        <v>35</v>
      </c>
      <c r="AC2" s="155" t="s">
        <v>36</v>
      </c>
    </row>
    <row r="3" spans="1:27" s="161" customFormat="1" ht="12.75">
      <c r="A3" s="5"/>
      <c r="B3" s="49"/>
      <c r="C3" s="24"/>
      <c r="D3" s="167"/>
      <c r="E3" s="162"/>
      <c r="F3" s="167"/>
      <c r="G3" s="163"/>
      <c r="H3" s="171"/>
      <c r="I3" s="162"/>
      <c r="J3" s="171"/>
      <c r="K3" s="162"/>
      <c r="L3" s="167"/>
      <c r="M3" s="162"/>
      <c r="N3" s="167"/>
      <c r="O3" s="162"/>
      <c r="P3" s="167"/>
      <c r="Q3" s="162"/>
      <c r="R3" s="167"/>
      <c r="S3" s="162"/>
      <c r="T3" s="167"/>
      <c r="U3" s="162"/>
      <c r="V3" s="167"/>
      <c r="W3" s="162"/>
      <c r="X3" s="167"/>
      <c r="Y3" s="162"/>
      <c r="Z3" s="164"/>
      <c r="AA3" s="165"/>
    </row>
    <row r="4" spans="1:29" ht="12.75">
      <c r="A4" s="6" t="s">
        <v>1</v>
      </c>
      <c r="B4" s="51" t="s">
        <v>115</v>
      </c>
      <c r="C4" s="41" t="s">
        <v>88</v>
      </c>
      <c r="D4" s="185">
        <v>73</v>
      </c>
      <c r="E4" s="145">
        <f>35.27+19.15-35.27+4.3</f>
        <v>23.45</v>
      </c>
      <c r="F4" s="168">
        <v>81</v>
      </c>
      <c r="G4" s="148">
        <v>24.33</v>
      </c>
      <c r="H4" s="140">
        <v>70</v>
      </c>
      <c r="I4" s="120">
        <v>23.09</v>
      </c>
      <c r="J4" s="140">
        <v>76</v>
      </c>
      <c r="K4" s="120">
        <v>23.6</v>
      </c>
      <c r="L4" s="140">
        <v>15</v>
      </c>
      <c r="M4" s="120">
        <v>11.05</v>
      </c>
      <c r="N4" s="140">
        <v>1</v>
      </c>
      <c r="O4" s="120">
        <v>15.38</v>
      </c>
      <c r="P4" s="140">
        <f>VLOOKUP(B4,'VLOOKUP TABLE'!$A$3:$J$73,6,FALSE)</f>
        <v>13</v>
      </c>
      <c r="Q4" s="120">
        <f>VLOOKUP(B4,'VLOOKUP TABLE'!$A$3:$J$73,10,FALSE)</f>
        <v>14.51</v>
      </c>
      <c r="R4" s="140">
        <v>39</v>
      </c>
      <c r="S4" s="120">
        <v>17.63</v>
      </c>
      <c r="T4" s="140">
        <v>9</v>
      </c>
      <c r="U4" s="120">
        <v>14.08</v>
      </c>
      <c r="V4" s="177">
        <v>0</v>
      </c>
      <c r="W4" s="149">
        <v>12.99</v>
      </c>
      <c r="X4" s="173">
        <v>0</v>
      </c>
      <c r="Y4" s="144">
        <v>12.99</v>
      </c>
      <c r="Z4" s="140">
        <v>1</v>
      </c>
      <c r="AA4" s="120">
        <v>13.11</v>
      </c>
      <c r="AB4" s="147">
        <f aca="true" t="shared" si="0" ref="AB4:AC39">D4+F4+H4+J4+L4+N4+P4+R4+T4+V4+X4+Z4</f>
        <v>378</v>
      </c>
      <c r="AC4" s="147">
        <f t="shared" si="0"/>
        <v>206.21000000000004</v>
      </c>
    </row>
    <row r="5" spans="1:29" ht="12.75">
      <c r="A5" s="6" t="s">
        <v>1</v>
      </c>
      <c r="B5" s="51" t="s">
        <v>116</v>
      </c>
      <c r="C5" s="41" t="s">
        <v>88</v>
      </c>
      <c r="D5" s="168">
        <v>748</v>
      </c>
      <c r="E5" s="120">
        <v>97.41</v>
      </c>
      <c r="F5" s="168">
        <v>748</v>
      </c>
      <c r="G5" s="150">
        <v>97.41</v>
      </c>
      <c r="H5" s="140">
        <v>748</v>
      </c>
      <c r="I5" s="120">
        <v>97.06</v>
      </c>
      <c r="J5" s="140">
        <v>748</v>
      </c>
      <c r="K5" s="120">
        <v>96.58</v>
      </c>
      <c r="L5" s="140">
        <v>748</v>
      </c>
      <c r="M5" s="120">
        <v>95.76</v>
      </c>
      <c r="N5" s="140">
        <v>748</v>
      </c>
      <c r="O5" s="120">
        <v>95.60000000000001</v>
      </c>
      <c r="P5" s="140">
        <f>VLOOKUP(B5,'VLOOKUP TABLE'!$A$3:$J$73,6,FALSE)</f>
        <v>748</v>
      </c>
      <c r="Q5" s="120">
        <f>VLOOKUP(B5,'VLOOKUP TABLE'!$A$3:$J$73,10,FALSE)</f>
        <v>95.93</v>
      </c>
      <c r="R5" s="140">
        <v>748</v>
      </c>
      <c r="S5" s="120">
        <v>96.66</v>
      </c>
      <c r="T5" s="140">
        <v>748</v>
      </c>
      <c r="U5" s="120">
        <v>96.85</v>
      </c>
      <c r="V5" s="177">
        <v>748</v>
      </c>
      <c r="W5" s="149">
        <v>96.78</v>
      </c>
      <c r="X5" s="177">
        <v>748</v>
      </c>
      <c r="Y5" s="149">
        <v>96.08</v>
      </c>
      <c r="Z5" s="140">
        <v>748</v>
      </c>
      <c r="AA5" s="120">
        <v>96.32</v>
      </c>
      <c r="AB5" s="147">
        <f t="shared" si="0"/>
        <v>8976</v>
      </c>
      <c r="AC5" s="147">
        <f t="shared" si="0"/>
        <v>1158.4399999999998</v>
      </c>
    </row>
    <row r="6" spans="1:29" ht="12.75">
      <c r="A6" s="6" t="s">
        <v>1</v>
      </c>
      <c r="B6" s="51" t="s">
        <v>117</v>
      </c>
      <c r="C6" s="27" t="s">
        <v>88</v>
      </c>
      <c r="D6" s="168">
        <v>50</v>
      </c>
      <c r="E6" s="120">
        <v>11.36</v>
      </c>
      <c r="F6" s="168">
        <v>50</v>
      </c>
      <c r="G6" s="150">
        <v>11.36</v>
      </c>
      <c r="H6" s="140">
        <v>50</v>
      </c>
      <c r="I6" s="120">
        <v>11.33</v>
      </c>
      <c r="J6" s="168">
        <v>50</v>
      </c>
      <c r="K6" s="120">
        <v>11.3</v>
      </c>
      <c r="L6" s="140">
        <v>50</v>
      </c>
      <c r="M6" s="120">
        <v>11.23</v>
      </c>
      <c r="N6" s="140">
        <v>50</v>
      </c>
      <c r="O6" s="120">
        <v>11.219999999999999</v>
      </c>
      <c r="P6" s="140">
        <f>VLOOKUP(B6,'VLOOKUP TABLE'!$A$3:$J$73,6,FALSE)</f>
        <v>50</v>
      </c>
      <c r="Q6" s="120">
        <f>VLOOKUP(B6,'VLOOKUP TABLE'!$A$3:$J$73,10,FALSE)</f>
        <v>11.25</v>
      </c>
      <c r="R6" s="140">
        <v>50</v>
      </c>
      <c r="S6" s="120">
        <v>11.31</v>
      </c>
      <c r="T6" s="140">
        <v>50</v>
      </c>
      <c r="U6" s="120">
        <v>11.32</v>
      </c>
      <c r="V6" s="177">
        <v>50</v>
      </c>
      <c r="W6" s="149">
        <v>11.31</v>
      </c>
      <c r="X6" s="177">
        <v>50</v>
      </c>
      <c r="Y6" s="149">
        <v>11.27</v>
      </c>
      <c r="Z6" s="140">
        <v>50</v>
      </c>
      <c r="AA6" s="120">
        <v>11.29</v>
      </c>
      <c r="AB6" s="147">
        <f t="shared" si="0"/>
        <v>600</v>
      </c>
      <c r="AC6" s="147">
        <f t="shared" si="0"/>
        <v>135.55</v>
      </c>
    </row>
    <row r="7" spans="1:29" ht="12.75">
      <c r="A7" s="6" t="s">
        <v>1</v>
      </c>
      <c r="B7" s="51" t="s">
        <v>118</v>
      </c>
      <c r="C7" s="27" t="s">
        <v>89</v>
      </c>
      <c r="D7" s="168">
        <v>9100</v>
      </c>
      <c r="E7" s="120">
        <v>1842.7</v>
      </c>
      <c r="F7" s="168">
        <v>10300</v>
      </c>
      <c r="G7" s="150">
        <v>2034.74</v>
      </c>
      <c r="H7" s="140">
        <v>5500</v>
      </c>
      <c r="I7" s="120">
        <v>1749.52</v>
      </c>
      <c r="J7" s="172">
        <v>8600</v>
      </c>
      <c r="K7" s="144">
        <v>1923.49</v>
      </c>
      <c r="L7" s="173">
        <v>10600</v>
      </c>
      <c r="M7" s="120">
        <v>2041.48</v>
      </c>
      <c r="N7" s="140">
        <v>9500</v>
      </c>
      <c r="O7" s="120">
        <v>1964.71</v>
      </c>
      <c r="P7" s="140">
        <f>VLOOKUP(B7,'VLOOKUP TABLE'!$A$3:$J$73,6,FALSE)</f>
        <v>10200</v>
      </c>
      <c r="Q7" s="120">
        <f>VLOOKUP(B7,'VLOOKUP TABLE'!$A$3:$J$73,10,FALSE)</f>
        <v>1741.71</v>
      </c>
      <c r="R7" s="140">
        <v>5700</v>
      </c>
      <c r="S7" s="120">
        <v>1485.98</v>
      </c>
      <c r="T7" s="140">
        <v>4300</v>
      </c>
      <c r="U7" s="120">
        <v>1401.33</v>
      </c>
      <c r="V7" s="177">
        <v>3400</v>
      </c>
      <c r="W7" s="149">
        <v>1336.43</v>
      </c>
      <c r="X7" s="177">
        <v>3700</v>
      </c>
      <c r="Y7" s="149">
        <v>1052.66</v>
      </c>
      <c r="Z7" s="140">
        <v>3600</v>
      </c>
      <c r="AA7" s="120">
        <v>1326.42</v>
      </c>
      <c r="AB7" s="147">
        <f t="shared" si="0"/>
        <v>84500</v>
      </c>
      <c r="AC7" s="147">
        <f t="shared" si="0"/>
        <v>19901.17</v>
      </c>
    </row>
    <row r="8" spans="1:29" ht="12.75">
      <c r="A8" s="6" t="s">
        <v>2</v>
      </c>
      <c r="B8" s="51" t="s">
        <v>119</v>
      </c>
      <c r="C8" s="27" t="s">
        <v>90</v>
      </c>
      <c r="D8" s="168">
        <v>118797</v>
      </c>
      <c r="E8" s="120">
        <v>12514.82</v>
      </c>
      <c r="F8" s="168">
        <v>109086</v>
      </c>
      <c r="G8" s="150">
        <v>11685.68</v>
      </c>
      <c r="H8" s="140">
        <v>70560</v>
      </c>
      <c r="I8" s="120">
        <v>8276.1</v>
      </c>
      <c r="J8" s="174">
        <v>68614</v>
      </c>
      <c r="K8" s="145">
        <v>7552.5</v>
      </c>
      <c r="L8" s="173">
        <v>54842</v>
      </c>
      <c r="M8" s="144">
        <v>6891.15</v>
      </c>
      <c r="N8" s="140">
        <v>70211</v>
      </c>
      <c r="O8" s="120">
        <v>7728.18</v>
      </c>
      <c r="P8" s="140">
        <f>VLOOKUP(B8,'VLOOKUP TABLE'!$A$3:$J$73,6,FALSE)</f>
        <v>61420</v>
      </c>
      <c r="Q8" s="120">
        <f>VLOOKUP(B8,'VLOOKUP TABLE'!$A$3:$J$73,10,FALSE)</f>
        <v>7293.3099999999995</v>
      </c>
      <c r="R8" s="214">
        <v>58024</v>
      </c>
      <c r="S8" s="144">
        <v>7352.74</v>
      </c>
      <c r="T8" s="140">
        <v>78731</v>
      </c>
      <c r="U8" s="120">
        <v>8917.9</v>
      </c>
      <c r="V8" s="177">
        <v>71367</v>
      </c>
      <c r="W8" s="149">
        <v>8304.73</v>
      </c>
      <c r="X8" s="177">
        <v>69941</v>
      </c>
      <c r="Y8" s="149">
        <v>7928.21</v>
      </c>
      <c r="Z8" s="140">
        <v>73418</v>
      </c>
      <c r="AA8" s="120">
        <v>8388.97</v>
      </c>
      <c r="AB8" s="147">
        <f t="shared" si="0"/>
        <v>905011</v>
      </c>
      <c r="AC8" s="147">
        <f t="shared" si="0"/>
        <v>102834.29</v>
      </c>
    </row>
    <row r="9" spans="1:29" ht="12.75">
      <c r="A9" s="6" t="s">
        <v>2</v>
      </c>
      <c r="B9" s="51" t="s">
        <v>120</v>
      </c>
      <c r="C9" s="27" t="s">
        <v>91</v>
      </c>
      <c r="D9" s="168">
        <v>71</v>
      </c>
      <c r="E9" s="120">
        <v>12.93</v>
      </c>
      <c r="F9" s="168">
        <v>71</v>
      </c>
      <c r="G9" s="150">
        <v>12.93</v>
      </c>
      <c r="H9" s="140">
        <v>71</v>
      </c>
      <c r="I9" s="120">
        <v>12.9</v>
      </c>
      <c r="J9" s="173">
        <v>71</v>
      </c>
      <c r="K9" s="120">
        <v>12.85</v>
      </c>
      <c r="L9" s="140">
        <v>71</v>
      </c>
      <c r="M9" s="120">
        <v>12.78</v>
      </c>
      <c r="N9" s="140">
        <v>71</v>
      </c>
      <c r="O9" s="120">
        <v>12.76</v>
      </c>
      <c r="P9" s="140">
        <f>VLOOKUP(B9,'VLOOKUP TABLE'!$A$3:$J$73,6,FALSE)</f>
        <v>71</v>
      </c>
      <c r="Q9" s="120">
        <f>VLOOKUP(B9,'VLOOKUP TABLE'!$A$3:$J$73,10,FALSE)</f>
        <v>12.790000000000001</v>
      </c>
      <c r="R9" s="175">
        <v>71</v>
      </c>
      <c r="S9" s="120">
        <v>12.86</v>
      </c>
      <c r="T9" s="140">
        <v>71</v>
      </c>
      <c r="U9" s="120">
        <v>12.88</v>
      </c>
      <c r="V9" s="177">
        <v>71</v>
      </c>
      <c r="W9" s="149">
        <v>12.86</v>
      </c>
      <c r="X9" s="177">
        <v>71</v>
      </c>
      <c r="Y9" s="149">
        <v>12.8</v>
      </c>
      <c r="Z9" s="140">
        <v>71</v>
      </c>
      <c r="AA9" s="120">
        <v>12.82</v>
      </c>
      <c r="AB9" s="147">
        <f t="shared" si="0"/>
        <v>852</v>
      </c>
      <c r="AC9" s="147">
        <f t="shared" si="0"/>
        <v>154.16000000000003</v>
      </c>
    </row>
    <row r="10" spans="1:29" ht="12.75">
      <c r="A10" s="6" t="s">
        <v>2</v>
      </c>
      <c r="B10" s="51" t="s">
        <v>121</v>
      </c>
      <c r="C10" s="27" t="s">
        <v>91</v>
      </c>
      <c r="D10" s="168">
        <v>160</v>
      </c>
      <c r="E10" s="120">
        <v>23.94</v>
      </c>
      <c r="F10" s="168">
        <v>160</v>
      </c>
      <c r="G10" s="150">
        <v>23.94</v>
      </c>
      <c r="H10" s="140">
        <v>160</v>
      </c>
      <c r="I10" s="120">
        <v>23.86</v>
      </c>
      <c r="J10" s="173">
        <v>160</v>
      </c>
      <c r="K10" s="120">
        <v>23.76</v>
      </c>
      <c r="L10" s="140">
        <v>160</v>
      </c>
      <c r="M10" s="144">
        <v>23.6</v>
      </c>
      <c r="N10" s="140">
        <v>160</v>
      </c>
      <c r="O10" s="120">
        <v>23.57</v>
      </c>
      <c r="P10" s="140">
        <f>VLOOKUP(B10,'VLOOKUP TABLE'!$A$3:$J$73,6,FALSE)</f>
        <v>160</v>
      </c>
      <c r="Q10" s="120">
        <f>VLOOKUP(B10,'VLOOKUP TABLE'!$A$3:$J$73,10,FALSE)</f>
        <v>23.619999999999997</v>
      </c>
      <c r="R10" s="175">
        <v>160</v>
      </c>
      <c r="S10" s="120">
        <v>23.78</v>
      </c>
      <c r="T10" s="140">
        <v>160</v>
      </c>
      <c r="U10" s="120">
        <v>23.82</v>
      </c>
      <c r="V10" s="177">
        <v>160</v>
      </c>
      <c r="W10" s="149">
        <v>23.82</v>
      </c>
      <c r="X10" s="177">
        <v>160</v>
      </c>
      <c r="Y10" s="149">
        <v>23.66</v>
      </c>
      <c r="Z10" s="140">
        <v>160</v>
      </c>
      <c r="AA10" s="120">
        <v>23.72</v>
      </c>
      <c r="AB10" s="147">
        <f t="shared" si="0"/>
        <v>1920</v>
      </c>
      <c r="AC10" s="147">
        <f t="shared" si="0"/>
        <v>285.09000000000003</v>
      </c>
    </row>
    <row r="11" spans="1:29" ht="12.75">
      <c r="A11" s="6" t="s">
        <v>2</v>
      </c>
      <c r="B11" s="51" t="s">
        <v>122</v>
      </c>
      <c r="C11" s="27" t="s">
        <v>91</v>
      </c>
      <c r="D11" s="168">
        <v>374</v>
      </c>
      <c r="E11" s="120">
        <v>48.72</v>
      </c>
      <c r="F11" s="168">
        <v>374</v>
      </c>
      <c r="G11" s="150">
        <v>48.7</v>
      </c>
      <c r="H11" s="140">
        <v>374</v>
      </c>
      <c r="I11" s="120">
        <v>48.53</v>
      </c>
      <c r="J11" s="173">
        <v>374</v>
      </c>
      <c r="K11" s="120">
        <v>48.29</v>
      </c>
      <c r="L11" s="140">
        <v>374</v>
      </c>
      <c r="M11" s="120">
        <v>47.88</v>
      </c>
      <c r="N11" s="140">
        <v>374</v>
      </c>
      <c r="O11" s="120">
        <v>47.82</v>
      </c>
      <c r="P11" s="140">
        <f>VLOOKUP(B11,'VLOOKUP TABLE'!$A$3:$J$73,6,FALSE)</f>
        <v>374</v>
      </c>
      <c r="Q11" s="120">
        <f>VLOOKUP(B11,'VLOOKUP TABLE'!$A$3:$J$73,10,FALSE)</f>
        <v>47.959999999999994</v>
      </c>
      <c r="R11" s="175">
        <v>374</v>
      </c>
      <c r="S11" s="120">
        <v>48.33</v>
      </c>
      <c r="T11" s="140">
        <v>374</v>
      </c>
      <c r="U11" s="120">
        <v>48.44</v>
      </c>
      <c r="V11" s="177">
        <v>374</v>
      </c>
      <c r="W11" s="149">
        <v>48.39</v>
      </c>
      <c r="X11" s="177">
        <v>374</v>
      </c>
      <c r="Y11" s="149">
        <v>48.05</v>
      </c>
      <c r="Z11" s="140">
        <v>374</v>
      </c>
      <c r="AA11" s="120">
        <v>48.16</v>
      </c>
      <c r="AB11" s="147">
        <f t="shared" si="0"/>
        <v>4488</v>
      </c>
      <c r="AC11" s="147">
        <f t="shared" si="0"/>
        <v>579.2699999999999</v>
      </c>
    </row>
    <row r="12" spans="1:29" ht="12.75">
      <c r="A12" s="6" t="s">
        <v>3</v>
      </c>
      <c r="B12" s="51" t="s">
        <v>123</v>
      </c>
      <c r="C12" s="27" t="s">
        <v>93</v>
      </c>
      <c r="D12" s="168">
        <v>7000</v>
      </c>
      <c r="E12" s="120">
        <v>759.02</v>
      </c>
      <c r="F12" s="168">
        <v>5720</v>
      </c>
      <c r="G12" s="150">
        <v>656.54</v>
      </c>
      <c r="H12" s="140">
        <v>3320</v>
      </c>
      <c r="I12" s="120">
        <v>483.13</v>
      </c>
      <c r="J12" s="173">
        <v>3040</v>
      </c>
      <c r="K12" s="120">
        <v>447.28</v>
      </c>
      <c r="L12" s="140">
        <v>3120</v>
      </c>
      <c r="M12" s="120">
        <v>446.99</v>
      </c>
      <c r="N12" s="140">
        <v>3680</v>
      </c>
      <c r="O12" s="120">
        <v>479.39</v>
      </c>
      <c r="P12" s="140">
        <f>VLOOKUP(B12,'VLOOKUP TABLE'!$A$3:$J$73,6,FALSE)</f>
        <v>3280</v>
      </c>
      <c r="Q12" s="120">
        <f>VLOOKUP(B12,'VLOOKUP TABLE'!$A$3:$J$73,10,FALSE)</f>
        <v>455.97</v>
      </c>
      <c r="R12" s="175">
        <v>3000</v>
      </c>
      <c r="S12" s="120">
        <v>445.03</v>
      </c>
      <c r="T12" s="140">
        <v>3680</v>
      </c>
      <c r="U12" s="120">
        <v>504.19</v>
      </c>
      <c r="V12" s="177">
        <v>4440</v>
      </c>
      <c r="W12" s="149">
        <v>565.87</v>
      </c>
      <c r="X12" s="177">
        <v>5920</v>
      </c>
      <c r="Y12" s="149">
        <v>662.78</v>
      </c>
      <c r="Z12" s="140">
        <v>6320</v>
      </c>
      <c r="AA12" s="120">
        <v>692.1</v>
      </c>
      <c r="AB12" s="147">
        <f t="shared" si="0"/>
        <v>52520</v>
      </c>
      <c r="AC12" s="147">
        <f t="shared" si="0"/>
        <v>6598.289999999999</v>
      </c>
    </row>
    <row r="13" spans="1:29" ht="12.75">
      <c r="A13" s="6" t="s">
        <v>76</v>
      </c>
      <c r="B13" s="51" t="s">
        <v>124</v>
      </c>
      <c r="C13" s="27" t="s">
        <v>202</v>
      </c>
      <c r="D13" s="168">
        <v>27600</v>
      </c>
      <c r="E13" s="120">
        <v>2345.75</v>
      </c>
      <c r="F13" s="168">
        <v>27520</v>
      </c>
      <c r="G13" s="150">
        <v>2306.14</v>
      </c>
      <c r="H13" s="140">
        <v>22960</v>
      </c>
      <c r="I13" s="120">
        <v>2013.44</v>
      </c>
      <c r="J13" s="173">
        <v>25600</v>
      </c>
      <c r="K13" s="120">
        <v>2185.96</v>
      </c>
      <c r="L13" s="140">
        <v>24480</v>
      </c>
      <c r="M13" s="120">
        <v>2130.82</v>
      </c>
      <c r="N13" s="140">
        <v>29840</v>
      </c>
      <c r="O13" s="120">
        <v>2529.54</v>
      </c>
      <c r="P13" s="140">
        <f>VLOOKUP(B13,'VLOOKUP TABLE'!$A$3:$J$73,6,FALSE)</f>
        <v>24160</v>
      </c>
      <c r="Q13" s="120">
        <f>VLOOKUP(B13,'VLOOKUP TABLE'!$A$3:$J$73,10,FALSE)</f>
        <v>2214.31</v>
      </c>
      <c r="R13" s="175">
        <v>22480</v>
      </c>
      <c r="S13" s="144">
        <v>2005.52</v>
      </c>
      <c r="T13" s="140">
        <v>26080</v>
      </c>
      <c r="U13" s="120">
        <v>2208.88</v>
      </c>
      <c r="V13" s="177">
        <v>25280</v>
      </c>
      <c r="W13" s="149">
        <v>2157.5</v>
      </c>
      <c r="X13" s="177">
        <v>29760</v>
      </c>
      <c r="Y13" s="149">
        <v>2430.37</v>
      </c>
      <c r="Z13" s="140">
        <v>19360</v>
      </c>
      <c r="AA13" s="120">
        <v>2259.32</v>
      </c>
      <c r="AB13" s="147">
        <f t="shared" si="0"/>
        <v>305120</v>
      </c>
      <c r="AC13" s="147">
        <f t="shared" si="0"/>
        <v>26787.55</v>
      </c>
    </row>
    <row r="14" spans="1:29" ht="12.75">
      <c r="A14" s="6" t="s">
        <v>34</v>
      </c>
      <c r="B14" s="51" t="s">
        <v>125</v>
      </c>
      <c r="C14" s="27" t="s">
        <v>94</v>
      </c>
      <c r="D14" s="168">
        <v>65762</v>
      </c>
      <c r="E14" s="120">
        <v>7187.26</v>
      </c>
      <c r="F14" s="168">
        <v>57013</v>
      </c>
      <c r="G14" s="150">
        <v>6199.01</v>
      </c>
      <c r="H14" s="140">
        <v>37388</v>
      </c>
      <c r="I14" s="120">
        <v>4679.91</v>
      </c>
      <c r="J14" s="173">
        <v>33437</v>
      </c>
      <c r="K14" s="120">
        <v>4533.45</v>
      </c>
      <c r="L14" s="173">
        <v>31436</v>
      </c>
      <c r="M14" s="144">
        <v>5081.01</v>
      </c>
      <c r="N14" s="140">
        <v>46643</v>
      </c>
      <c r="O14" s="120">
        <v>5377.5599999999995</v>
      </c>
      <c r="P14" s="140">
        <f>VLOOKUP(B14,'VLOOKUP TABLE'!$A$3:$J$73,6,FALSE)</f>
        <v>36099</v>
      </c>
      <c r="Q14" s="120">
        <f>VLOOKUP(B14,'VLOOKUP TABLE'!$A$3:$J$73,10,FALSE)</f>
        <v>5101.860000000001</v>
      </c>
      <c r="R14" s="214">
        <v>30050</v>
      </c>
      <c r="S14" s="144">
        <v>4455.98</v>
      </c>
      <c r="T14" s="140">
        <v>42101</v>
      </c>
      <c r="U14" s="120">
        <v>5160.79</v>
      </c>
      <c r="V14" s="177">
        <v>35524</v>
      </c>
      <c r="W14" s="149">
        <v>4700.46</v>
      </c>
      <c r="X14" s="177">
        <v>22912</v>
      </c>
      <c r="Y14" s="149">
        <v>3596.1</v>
      </c>
      <c r="Z14" s="140">
        <v>32162</v>
      </c>
      <c r="AA14" s="120">
        <v>4319.15</v>
      </c>
      <c r="AB14" s="147">
        <f t="shared" si="0"/>
        <v>470527</v>
      </c>
      <c r="AC14" s="147">
        <f t="shared" si="0"/>
        <v>60392.53999999999</v>
      </c>
    </row>
    <row r="15" spans="1:29" ht="12.75">
      <c r="A15" s="6" t="s">
        <v>4</v>
      </c>
      <c r="B15" s="51" t="s">
        <v>126</v>
      </c>
      <c r="C15" s="27" t="s">
        <v>95</v>
      </c>
      <c r="D15" s="168">
        <v>467</v>
      </c>
      <c r="E15" s="120">
        <v>162.5</v>
      </c>
      <c r="F15" s="168">
        <v>731</v>
      </c>
      <c r="G15" s="150">
        <v>158.21</v>
      </c>
      <c r="H15" s="140">
        <v>88</v>
      </c>
      <c r="I15" s="120">
        <v>119.52</v>
      </c>
      <c r="J15" s="174">
        <v>213</v>
      </c>
      <c r="K15" s="145">
        <v>107.32</v>
      </c>
      <c r="L15" s="140">
        <v>507</v>
      </c>
      <c r="M15" s="144">
        <v>90.93</v>
      </c>
      <c r="N15" s="140">
        <v>434</v>
      </c>
      <c r="O15" s="120">
        <v>68.47</v>
      </c>
      <c r="P15" s="174">
        <v>246</v>
      </c>
      <c r="Q15" s="145">
        <v>51.09</v>
      </c>
      <c r="R15" s="175">
        <v>166</v>
      </c>
      <c r="S15" s="120">
        <v>64.7</v>
      </c>
      <c r="T15" s="140">
        <v>47</v>
      </c>
      <c r="U15" s="120">
        <v>39.67</v>
      </c>
      <c r="V15" s="177">
        <v>32</v>
      </c>
      <c r="W15" s="149">
        <v>47.03</v>
      </c>
      <c r="X15" s="173">
        <v>46</v>
      </c>
      <c r="Y15" s="144">
        <v>48.06</v>
      </c>
      <c r="Z15" s="140">
        <v>46</v>
      </c>
      <c r="AA15" s="120">
        <v>48.05</v>
      </c>
      <c r="AB15" s="147">
        <f t="shared" si="0"/>
        <v>3023</v>
      </c>
      <c r="AC15" s="147">
        <f t="shared" si="0"/>
        <v>1005.55</v>
      </c>
    </row>
    <row r="16" spans="1:29" ht="12.75">
      <c r="A16" s="6" t="s">
        <v>5</v>
      </c>
      <c r="B16" s="51" t="s">
        <v>127</v>
      </c>
      <c r="C16" s="27" t="s">
        <v>96</v>
      </c>
      <c r="D16" s="168">
        <v>62467</v>
      </c>
      <c r="E16" s="120">
        <v>6591.28</v>
      </c>
      <c r="F16" s="168">
        <v>51367</v>
      </c>
      <c r="G16" s="150">
        <v>5539.3</v>
      </c>
      <c r="H16" s="140">
        <v>33094</v>
      </c>
      <c r="I16" s="120">
        <v>4030.12</v>
      </c>
      <c r="J16" s="174">
        <v>33766</v>
      </c>
      <c r="K16" s="145">
        <v>4208.77</v>
      </c>
      <c r="L16" s="173">
        <v>33100</v>
      </c>
      <c r="M16" s="144">
        <v>4680.73</v>
      </c>
      <c r="N16" s="140">
        <v>47174</v>
      </c>
      <c r="O16" s="120">
        <v>5283.29</v>
      </c>
      <c r="P16" s="174">
        <v>34382</v>
      </c>
      <c r="Q16" s="145">
        <v>4678.29</v>
      </c>
      <c r="R16" s="140">
        <v>34212</v>
      </c>
      <c r="S16" s="120">
        <v>4151.43</v>
      </c>
      <c r="T16" s="140">
        <v>36569</v>
      </c>
      <c r="U16" s="120">
        <v>4512.2</v>
      </c>
      <c r="V16" s="177">
        <v>33947</v>
      </c>
      <c r="W16" s="149">
        <v>4216.52</v>
      </c>
      <c r="X16" s="173">
        <v>29449</v>
      </c>
      <c r="Y16" s="144">
        <v>3680.58</v>
      </c>
      <c r="Z16" s="140">
        <v>36417</v>
      </c>
      <c r="AA16" s="120">
        <v>4291.87</v>
      </c>
      <c r="AB16" s="147">
        <f t="shared" si="0"/>
        <v>465944</v>
      </c>
      <c r="AC16" s="147">
        <f t="shared" si="0"/>
        <v>55864.38</v>
      </c>
    </row>
    <row r="17" spans="1:29" ht="12.75">
      <c r="A17" s="26" t="s">
        <v>50</v>
      </c>
      <c r="B17" s="51" t="s">
        <v>128</v>
      </c>
      <c r="C17" s="27" t="s">
        <v>97</v>
      </c>
      <c r="D17" s="168">
        <v>640</v>
      </c>
      <c r="E17" s="120">
        <v>95.84</v>
      </c>
      <c r="F17" s="168">
        <v>640</v>
      </c>
      <c r="G17" s="148">
        <v>95.83</v>
      </c>
      <c r="H17" s="140">
        <v>640</v>
      </c>
      <c r="I17" s="120">
        <v>95.53</v>
      </c>
      <c r="J17" s="174">
        <v>640</v>
      </c>
      <c r="K17" s="145">
        <v>93.5</v>
      </c>
      <c r="L17" s="140">
        <v>640</v>
      </c>
      <c r="M17" s="144">
        <v>94.42</v>
      </c>
      <c r="N17" s="140">
        <v>640</v>
      </c>
      <c r="O17" s="120">
        <v>94.28</v>
      </c>
      <c r="P17" s="174">
        <v>640</v>
      </c>
      <c r="Q17" s="145">
        <v>94.55</v>
      </c>
      <c r="R17" s="175">
        <v>640</v>
      </c>
      <c r="S17" s="120">
        <v>95.19</v>
      </c>
      <c r="T17" s="140">
        <v>640</v>
      </c>
      <c r="U17" s="120">
        <v>95.76</v>
      </c>
      <c r="V17" s="177">
        <v>640</v>
      </c>
      <c r="W17" s="149">
        <v>94.6</v>
      </c>
      <c r="X17" s="173">
        <v>640</v>
      </c>
      <c r="Y17" s="144">
        <v>94.93</v>
      </c>
      <c r="Z17" s="140">
        <v>640</v>
      </c>
      <c r="AA17" s="120">
        <v>94.89</v>
      </c>
      <c r="AB17" s="147">
        <f t="shared" si="0"/>
        <v>7680</v>
      </c>
      <c r="AC17" s="147">
        <f t="shared" si="0"/>
        <v>1139.3200000000002</v>
      </c>
    </row>
    <row r="18" spans="1:29" ht="12.75">
      <c r="A18" s="6" t="s">
        <v>6</v>
      </c>
      <c r="B18" s="51" t="s">
        <v>129</v>
      </c>
      <c r="C18" s="27" t="s">
        <v>98</v>
      </c>
      <c r="D18" s="168">
        <v>30160</v>
      </c>
      <c r="E18" s="120">
        <v>3124.13</v>
      </c>
      <c r="F18" s="168">
        <v>22240</v>
      </c>
      <c r="G18" s="150">
        <v>2412.14</v>
      </c>
      <c r="H18" s="140">
        <v>9760</v>
      </c>
      <c r="I18" s="120">
        <v>1510.17</v>
      </c>
      <c r="J18" s="174">
        <v>9040</v>
      </c>
      <c r="K18" s="145">
        <v>1457.48</v>
      </c>
      <c r="L18" s="140">
        <v>9440</v>
      </c>
      <c r="M18" s="144">
        <v>1351.4</v>
      </c>
      <c r="N18" s="140">
        <v>11600</v>
      </c>
      <c r="O18" s="120">
        <v>1477.5700000000002</v>
      </c>
      <c r="P18" s="174">
        <v>8400</v>
      </c>
      <c r="Q18" s="145">
        <v>1379.71</v>
      </c>
      <c r="R18" s="175">
        <v>8960</v>
      </c>
      <c r="S18" s="120">
        <v>1417.53</v>
      </c>
      <c r="T18" s="140">
        <v>10800</v>
      </c>
      <c r="U18" s="120">
        <v>1557.05</v>
      </c>
      <c r="V18" s="177">
        <v>13680</v>
      </c>
      <c r="W18" s="149">
        <v>1881.18</v>
      </c>
      <c r="X18" s="173">
        <v>15600</v>
      </c>
      <c r="Y18" s="144">
        <v>2011.48</v>
      </c>
      <c r="Z18" s="140">
        <v>19520</v>
      </c>
      <c r="AA18" s="120">
        <v>2212.01</v>
      </c>
      <c r="AB18" s="147">
        <f t="shared" si="0"/>
        <v>169200</v>
      </c>
      <c r="AC18" s="147">
        <f t="shared" si="0"/>
        <v>21791.85</v>
      </c>
    </row>
    <row r="19" spans="1:29" ht="12.75">
      <c r="A19" s="6" t="s">
        <v>7</v>
      </c>
      <c r="B19" s="51" t="s">
        <v>130</v>
      </c>
      <c r="C19" s="27" t="s">
        <v>99</v>
      </c>
      <c r="D19" s="185">
        <v>426</v>
      </c>
      <c r="E19" s="145">
        <f>62.18+25.16</f>
        <v>87.34</v>
      </c>
      <c r="F19" s="168">
        <v>491</v>
      </c>
      <c r="G19" s="150">
        <v>81.72</v>
      </c>
      <c r="H19" s="140">
        <v>498</v>
      </c>
      <c r="I19" s="120">
        <v>82.3</v>
      </c>
      <c r="J19" s="174">
        <v>264</v>
      </c>
      <c r="K19" s="145">
        <v>66.73</v>
      </c>
      <c r="L19" s="173">
        <v>644</v>
      </c>
      <c r="M19" s="144">
        <v>90.78</v>
      </c>
      <c r="N19" s="174">
        <v>562</v>
      </c>
      <c r="O19" s="145">
        <v>85.05999999999999</v>
      </c>
      <c r="P19" s="174">
        <v>397</v>
      </c>
      <c r="Q19" s="145">
        <v>69.27</v>
      </c>
      <c r="R19" s="214">
        <v>232</v>
      </c>
      <c r="S19" s="144">
        <v>50.67</v>
      </c>
      <c r="T19" s="140">
        <v>294</v>
      </c>
      <c r="U19" s="120">
        <v>64.1</v>
      </c>
      <c r="V19" s="177">
        <v>314</v>
      </c>
      <c r="W19" s="149">
        <v>64.45</v>
      </c>
      <c r="X19" s="173">
        <v>212</v>
      </c>
      <c r="Y19" s="144">
        <v>49.39</v>
      </c>
      <c r="Z19" s="140">
        <v>214</v>
      </c>
      <c r="AA19" s="120">
        <v>58.53</v>
      </c>
      <c r="AB19" s="147">
        <f t="shared" si="0"/>
        <v>4548</v>
      </c>
      <c r="AC19" s="147">
        <f t="shared" si="0"/>
        <v>850.34</v>
      </c>
    </row>
    <row r="20" spans="1:29" ht="12.75">
      <c r="A20" s="26" t="s">
        <v>168</v>
      </c>
      <c r="B20" s="51" t="s">
        <v>167</v>
      </c>
      <c r="C20" s="27" t="s">
        <v>166</v>
      </c>
      <c r="D20" s="185">
        <v>1217</v>
      </c>
      <c r="E20" s="145">
        <f>53.51+71.93</f>
        <v>125.44</v>
      </c>
      <c r="F20" s="168">
        <v>761</v>
      </c>
      <c r="G20" s="150">
        <f>44.94+35.99</f>
        <v>80.93</v>
      </c>
      <c r="H20" s="140">
        <v>647</v>
      </c>
      <c r="I20" s="120">
        <v>70.45</v>
      </c>
      <c r="J20" s="174">
        <v>1643</v>
      </c>
      <c r="K20" s="145">
        <v>159.53</v>
      </c>
      <c r="L20" s="173">
        <v>1312</v>
      </c>
      <c r="M20" s="144">
        <v>130.43</v>
      </c>
      <c r="N20" s="174">
        <v>1506</v>
      </c>
      <c r="O20" s="145">
        <v>148.37</v>
      </c>
      <c r="P20" s="174">
        <v>713</v>
      </c>
      <c r="Q20" s="145">
        <v>72.57</v>
      </c>
      <c r="R20" s="214">
        <v>364</v>
      </c>
      <c r="S20" s="144">
        <v>42.03</v>
      </c>
      <c r="T20" s="140">
        <v>402</v>
      </c>
      <c r="U20" s="120">
        <v>47.35</v>
      </c>
      <c r="V20" s="177">
        <v>719</v>
      </c>
      <c r="W20" s="149">
        <v>73.78</v>
      </c>
      <c r="X20" s="173">
        <v>870</v>
      </c>
      <c r="Y20" s="144">
        <v>88.23</v>
      </c>
      <c r="Z20" s="140">
        <v>896</v>
      </c>
      <c r="AA20" s="120">
        <v>90.57</v>
      </c>
      <c r="AB20" s="147">
        <f t="shared" si="0"/>
        <v>11050</v>
      </c>
      <c r="AC20" s="147">
        <f t="shared" si="0"/>
        <v>1129.6799999999998</v>
      </c>
    </row>
    <row r="21" spans="1:29" ht="12.75">
      <c r="A21" s="6" t="s">
        <v>8</v>
      </c>
      <c r="B21" s="51" t="s">
        <v>131</v>
      </c>
      <c r="C21" s="27" t="s">
        <v>100</v>
      </c>
      <c r="D21" s="172">
        <v>23</v>
      </c>
      <c r="E21" s="120">
        <v>17.92</v>
      </c>
      <c r="F21" s="168">
        <v>28</v>
      </c>
      <c r="G21" s="150">
        <v>18.45</v>
      </c>
      <c r="H21" s="140">
        <v>31</v>
      </c>
      <c r="I21" s="120">
        <v>18.78</v>
      </c>
      <c r="J21" s="174">
        <v>29</v>
      </c>
      <c r="K21" s="145">
        <v>18.47</v>
      </c>
      <c r="L21" s="140">
        <v>30</v>
      </c>
      <c r="M21" s="144">
        <v>18.59</v>
      </c>
      <c r="N21" s="140">
        <v>32</v>
      </c>
      <c r="O21" s="120">
        <v>18.779999999999998</v>
      </c>
      <c r="P21" s="140">
        <f>VLOOKUP(B21,'VLOOKUP TABLE'!$A$3:$J$73,6,FALSE)</f>
        <v>28</v>
      </c>
      <c r="Q21" s="120">
        <f>VLOOKUP(B21,'VLOOKUP TABLE'!$A$3:$J$73,10,FALSE)</f>
        <v>16.27</v>
      </c>
      <c r="R21" s="175">
        <v>29</v>
      </c>
      <c r="S21" s="120">
        <v>16.46</v>
      </c>
      <c r="T21" s="140">
        <v>28</v>
      </c>
      <c r="U21" s="120">
        <v>16.33</v>
      </c>
      <c r="V21" s="177">
        <v>27</v>
      </c>
      <c r="W21" s="149">
        <v>16.21</v>
      </c>
      <c r="X21" s="173">
        <v>29</v>
      </c>
      <c r="Y21" s="144">
        <v>16.43</v>
      </c>
      <c r="Z21" s="140">
        <v>27</v>
      </c>
      <c r="AA21" s="120">
        <v>16.19</v>
      </c>
      <c r="AB21" s="147">
        <f t="shared" si="0"/>
        <v>341</v>
      </c>
      <c r="AC21" s="147">
        <f t="shared" si="0"/>
        <v>208.88000000000002</v>
      </c>
    </row>
    <row r="22" spans="1:29" ht="12.75">
      <c r="A22" s="6" t="s">
        <v>9</v>
      </c>
      <c r="B22" s="51" t="s">
        <v>132</v>
      </c>
      <c r="C22" s="27" t="s">
        <v>101</v>
      </c>
      <c r="D22" s="185">
        <v>2296</v>
      </c>
      <c r="E22" s="145">
        <f>131.55+135.58</f>
        <v>267.13</v>
      </c>
      <c r="F22" s="168">
        <v>1968</v>
      </c>
      <c r="G22" s="150">
        <v>253.23</v>
      </c>
      <c r="H22" s="140">
        <v>1504</v>
      </c>
      <c r="I22" s="120">
        <v>197.58</v>
      </c>
      <c r="J22" s="174">
        <v>1803</v>
      </c>
      <c r="K22" s="145">
        <v>270.92</v>
      </c>
      <c r="L22" s="173">
        <v>1554</v>
      </c>
      <c r="M22" s="144">
        <v>249.42</v>
      </c>
      <c r="N22" s="174">
        <v>2241</v>
      </c>
      <c r="O22" s="145">
        <v>299.66</v>
      </c>
      <c r="P22" s="174">
        <v>1469</v>
      </c>
      <c r="Q22" s="145">
        <v>242.71</v>
      </c>
      <c r="R22" s="140">
        <v>1538</v>
      </c>
      <c r="S22" s="120">
        <v>204.72</v>
      </c>
      <c r="T22" s="140">
        <v>2043</v>
      </c>
      <c r="U22" s="120">
        <v>255.2</v>
      </c>
      <c r="V22" s="177">
        <v>1526</v>
      </c>
      <c r="W22" s="149">
        <v>220.19</v>
      </c>
      <c r="X22" s="173">
        <v>1487</v>
      </c>
      <c r="Y22" s="144">
        <v>165.06</v>
      </c>
      <c r="Z22" s="140">
        <v>1678</v>
      </c>
      <c r="AA22" s="120">
        <v>213.02</v>
      </c>
      <c r="AB22" s="147">
        <f t="shared" si="0"/>
        <v>21107</v>
      </c>
      <c r="AC22" s="147">
        <f t="shared" si="0"/>
        <v>2838.84</v>
      </c>
    </row>
    <row r="23" spans="1:29" ht="12.75">
      <c r="A23" s="6" t="s">
        <v>10</v>
      </c>
      <c r="B23" s="51" t="s">
        <v>133</v>
      </c>
      <c r="C23" s="27" t="s">
        <v>102</v>
      </c>
      <c r="D23" s="168">
        <v>12974</v>
      </c>
      <c r="E23" s="120">
        <v>1111.59</v>
      </c>
      <c r="F23" s="168">
        <v>10945</v>
      </c>
      <c r="G23" s="150">
        <v>960.35</v>
      </c>
      <c r="H23" s="140">
        <v>6972</v>
      </c>
      <c r="I23" s="120">
        <v>686.46</v>
      </c>
      <c r="J23" s="174">
        <v>23.71</v>
      </c>
      <c r="K23" s="145">
        <v>228.67</v>
      </c>
      <c r="L23" s="140">
        <v>14410</v>
      </c>
      <c r="M23" s="144">
        <v>1134.84</v>
      </c>
      <c r="N23" s="140">
        <v>7752</v>
      </c>
      <c r="O23" s="120">
        <v>716.79</v>
      </c>
      <c r="P23" s="140">
        <f>VLOOKUP(B23,'VLOOKUP TABLE'!$A$3:$J$73,6,FALSE)</f>
        <v>6287</v>
      </c>
      <c r="Q23" s="120">
        <f>VLOOKUP(B23,'VLOOKUP TABLE'!$A$3:$J$73,10,FALSE)</f>
        <v>623.3199999999999</v>
      </c>
      <c r="R23" s="140">
        <v>17031</v>
      </c>
      <c r="S23" s="120">
        <v>1325.88</v>
      </c>
      <c r="T23" s="140">
        <v>7158</v>
      </c>
      <c r="U23" s="120">
        <v>711.47</v>
      </c>
      <c r="V23" s="177">
        <v>1029</v>
      </c>
      <c r="W23" s="149">
        <v>332.13</v>
      </c>
      <c r="X23" s="173">
        <v>10871</v>
      </c>
      <c r="Y23" s="144">
        <v>964.88</v>
      </c>
      <c r="Z23" s="140">
        <v>11158</v>
      </c>
      <c r="AA23" s="120">
        <v>984.56</v>
      </c>
      <c r="AB23" s="147">
        <f t="shared" si="0"/>
        <v>106610.70999999999</v>
      </c>
      <c r="AC23" s="147">
        <f t="shared" si="0"/>
        <v>9780.939999999999</v>
      </c>
    </row>
    <row r="24" spans="1:29" ht="12.75">
      <c r="A24" s="6" t="s">
        <v>203</v>
      </c>
      <c r="B24" s="50" t="s">
        <v>134</v>
      </c>
      <c r="C24" s="27" t="s">
        <v>204</v>
      </c>
      <c r="D24" s="140">
        <v>40</v>
      </c>
      <c r="E24" s="120">
        <v>11.37</v>
      </c>
      <c r="F24" s="140">
        <v>40</v>
      </c>
      <c r="G24" s="150">
        <v>11.37</v>
      </c>
      <c r="H24" s="140">
        <v>1080</v>
      </c>
      <c r="I24" s="120">
        <v>117.29</v>
      </c>
      <c r="J24" s="174">
        <v>280</v>
      </c>
      <c r="K24" s="145">
        <v>34.43</v>
      </c>
      <c r="L24" s="140">
        <v>40</v>
      </c>
      <c r="M24" s="144">
        <v>11.27</v>
      </c>
      <c r="N24" s="140">
        <v>0</v>
      </c>
      <c r="O24" s="120">
        <v>6.819999999999999</v>
      </c>
      <c r="P24" s="140">
        <f>VLOOKUP(B24,'VLOOKUP TABLE'!$A$3:$J$73,6,FALSE)</f>
        <v>40</v>
      </c>
      <c r="Q24" s="120">
        <f>VLOOKUP(B24,'VLOOKUP TABLE'!$A$3:$J$73,10,FALSE)</f>
        <v>11.01</v>
      </c>
      <c r="R24" s="175">
        <v>880</v>
      </c>
      <c r="S24" s="120">
        <v>96.53</v>
      </c>
      <c r="T24" s="140">
        <v>1280</v>
      </c>
      <c r="U24" s="120">
        <v>136.18</v>
      </c>
      <c r="V24" s="177">
        <v>1960</v>
      </c>
      <c r="W24" s="149">
        <v>204.57</v>
      </c>
      <c r="X24" s="173">
        <v>520</v>
      </c>
      <c r="Y24" s="144">
        <v>59.78</v>
      </c>
      <c r="Z24" s="140">
        <v>0</v>
      </c>
      <c r="AA24" s="120">
        <v>7.24</v>
      </c>
      <c r="AB24" s="147">
        <f t="shared" si="0"/>
        <v>6160</v>
      </c>
      <c r="AC24" s="147">
        <f t="shared" si="0"/>
        <v>707.86</v>
      </c>
    </row>
    <row r="25" spans="1:29" ht="12.75">
      <c r="A25" s="6" t="s">
        <v>12</v>
      </c>
      <c r="B25" s="51" t="s">
        <v>135</v>
      </c>
      <c r="C25" s="27" t="s">
        <v>104</v>
      </c>
      <c r="D25" s="184">
        <v>65512.6799</v>
      </c>
      <c r="E25" s="120">
        <v>7603.29</v>
      </c>
      <c r="F25" s="184">
        <v>53560.1475</v>
      </c>
      <c r="G25" s="150">
        <v>6840.13</v>
      </c>
      <c r="H25" s="184">
        <v>39855.6825</v>
      </c>
      <c r="I25" s="120">
        <v>6074.35</v>
      </c>
      <c r="J25" s="188">
        <v>49032.6025</v>
      </c>
      <c r="K25" s="145">
        <v>6691.17</v>
      </c>
      <c r="L25" s="189">
        <v>47917.95</v>
      </c>
      <c r="M25" s="144">
        <v>8220.98</v>
      </c>
      <c r="N25" s="189">
        <v>87563.85</v>
      </c>
      <c r="O25" s="120">
        <v>10263.3</v>
      </c>
      <c r="P25" s="213">
        <f>VLOOKUP(B25,'VLOOKUP TABLE'!$A$3:$J$73,6,FALSE)</f>
        <v>60676.665</v>
      </c>
      <c r="Q25" s="120">
        <f>VLOOKUP(B25,'VLOOKUP TABLE'!$A$3:$J$73,10,FALSE)</f>
        <v>8686.43</v>
      </c>
      <c r="R25" s="215">
        <v>38518.1475</v>
      </c>
      <c r="S25" s="120">
        <v>7115.88</v>
      </c>
      <c r="T25" s="184">
        <v>42504.6975</v>
      </c>
      <c r="U25" s="120">
        <v>8166.68</v>
      </c>
      <c r="V25" s="184">
        <v>38690.19</v>
      </c>
      <c r="W25" s="149">
        <v>6657.33</v>
      </c>
      <c r="X25" s="216">
        <v>46462.7325</v>
      </c>
      <c r="Y25" s="144">
        <v>6769.2</v>
      </c>
      <c r="Z25" s="216">
        <v>40507.6425</v>
      </c>
      <c r="AA25" s="120">
        <v>6454.52</v>
      </c>
      <c r="AB25" s="147">
        <f t="shared" si="0"/>
        <v>610802.9874</v>
      </c>
      <c r="AC25" s="147">
        <f t="shared" si="0"/>
        <v>89543.26</v>
      </c>
    </row>
    <row r="26" spans="1:29" ht="12.75">
      <c r="A26" s="6" t="s">
        <v>13</v>
      </c>
      <c r="B26" s="51" t="s">
        <v>136</v>
      </c>
      <c r="C26" s="27" t="s">
        <v>105</v>
      </c>
      <c r="D26" s="140">
        <v>2185</v>
      </c>
      <c r="E26" s="120">
        <v>634.57</v>
      </c>
      <c r="F26" s="140">
        <v>2910</v>
      </c>
      <c r="G26" s="150">
        <v>809.23</v>
      </c>
      <c r="H26" s="140">
        <v>54</v>
      </c>
      <c r="I26" s="120">
        <v>422.8</v>
      </c>
      <c r="J26" s="174">
        <v>53</v>
      </c>
      <c r="K26" s="145">
        <v>380.6</v>
      </c>
      <c r="L26" s="140">
        <v>54</v>
      </c>
      <c r="M26" s="144">
        <v>383.72</v>
      </c>
      <c r="N26" s="140">
        <v>78</v>
      </c>
      <c r="O26" s="120">
        <v>385.48</v>
      </c>
      <c r="P26" s="140">
        <f>VLOOKUP(B26,'VLOOKUP TABLE'!$A$3:$J$73,6,FALSE)</f>
        <v>251</v>
      </c>
      <c r="Q26" s="120">
        <f>VLOOKUP(B26,'VLOOKUP TABLE'!$A$3:$J$73,10,FALSE)</f>
        <v>531.75</v>
      </c>
      <c r="R26" s="175">
        <v>669</v>
      </c>
      <c r="S26" s="120">
        <v>667.38</v>
      </c>
      <c r="T26" s="140">
        <v>1306</v>
      </c>
      <c r="U26" s="120">
        <v>517.37</v>
      </c>
      <c r="V26" s="177">
        <v>1781</v>
      </c>
      <c r="W26" s="149">
        <v>570.37</v>
      </c>
      <c r="X26" s="173">
        <v>895</v>
      </c>
      <c r="Y26" s="144">
        <v>547.65</v>
      </c>
      <c r="Z26" s="140">
        <v>1044</v>
      </c>
      <c r="AA26" s="120">
        <v>519.52</v>
      </c>
      <c r="AB26" s="147">
        <f t="shared" si="0"/>
        <v>11280</v>
      </c>
      <c r="AC26" s="147">
        <f t="shared" si="0"/>
        <v>6370.439999999999</v>
      </c>
    </row>
    <row r="27" spans="1:29" ht="12.75">
      <c r="A27" s="6" t="s">
        <v>14</v>
      </c>
      <c r="B27" s="51" t="s">
        <v>137</v>
      </c>
      <c r="C27" s="27" t="s">
        <v>106</v>
      </c>
      <c r="D27" s="140">
        <v>46799</v>
      </c>
      <c r="E27" s="120">
        <v>6174.72</v>
      </c>
      <c r="F27" s="140">
        <v>42746</v>
      </c>
      <c r="G27" s="150">
        <v>5645.53</v>
      </c>
      <c r="H27" s="140">
        <v>20051</v>
      </c>
      <c r="I27" s="120">
        <v>3919.24</v>
      </c>
      <c r="J27" s="173">
        <v>20433</v>
      </c>
      <c r="K27" s="120">
        <v>3812.76</v>
      </c>
      <c r="L27" s="173">
        <v>15544</v>
      </c>
      <c r="M27" s="190">
        <v>3158.35</v>
      </c>
      <c r="N27" s="140">
        <v>17367</v>
      </c>
      <c r="O27" s="120">
        <v>3214.1299999999997</v>
      </c>
      <c r="P27" s="140">
        <f>VLOOKUP(B27,'VLOOKUP TABLE'!$A$3:$J$73,6,FALSE)</f>
        <v>19002</v>
      </c>
      <c r="Q27" s="120">
        <f>VLOOKUP(B27,'VLOOKUP TABLE'!$A$3:$J$73,10,FALSE)</f>
        <v>3691.52</v>
      </c>
      <c r="R27" s="214">
        <v>18139</v>
      </c>
      <c r="S27" s="144">
        <v>3865.63</v>
      </c>
      <c r="T27" s="140">
        <v>18046</v>
      </c>
      <c r="U27" s="120">
        <v>3957.05</v>
      </c>
      <c r="V27" s="177">
        <v>30449</v>
      </c>
      <c r="W27" s="149">
        <v>5400.75</v>
      </c>
      <c r="X27" s="173">
        <v>37000</v>
      </c>
      <c r="Y27" s="144">
        <v>5346.12</v>
      </c>
      <c r="Z27" s="140">
        <v>27898</v>
      </c>
      <c r="AA27" s="120">
        <v>4718.97</v>
      </c>
      <c r="AB27" s="147">
        <f t="shared" si="0"/>
        <v>313474</v>
      </c>
      <c r="AC27" s="147">
        <f t="shared" si="0"/>
        <v>52904.770000000004</v>
      </c>
    </row>
    <row r="28" spans="1:29" ht="12.75">
      <c r="A28" s="6" t="s">
        <v>15</v>
      </c>
      <c r="B28" s="51" t="s">
        <v>138</v>
      </c>
      <c r="C28" s="27" t="s">
        <v>107</v>
      </c>
      <c r="D28" s="174">
        <v>4689</v>
      </c>
      <c r="E28" s="145">
        <v>479.28</v>
      </c>
      <c r="F28" s="174">
        <v>4446</v>
      </c>
      <c r="G28" s="187">
        <f>262.37+179.43-0.68</f>
        <v>441.12</v>
      </c>
      <c r="H28" s="174">
        <v>4665</v>
      </c>
      <c r="I28" s="145">
        <f>209.19+275.21</f>
        <v>484.4</v>
      </c>
      <c r="J28" s="174">
        <v>8450</v>
      </c>
      <c r="K28" s="145">
        <v>764.6</v>
      </c>
      <c r="L28" s="140">
        <v>9167</v>
      </c>
      <c r="M28" s="144">
        <v>815.34</v>
      </c>
      <c r="N28" s="174">
        <v>7511</v>
      </c>
      <c r="O28" s="145">
        <v>658.9200000000001</v>
      </c>
      <c r="P28" s="174">
        <v>4480</v>
      </c>
      <c r="Q28" s="145">
        <v>460.77</v>
      </c>
      <c r="R28" s="214">
        <v>2564</v>
      </c>
      <c r="S28" s="144">
        <v>338.84</v>
      </c>
      <c r="T28" s="140">
        <v>3681</v>
      </c>
      <c r="U28" s="120">
        <v>410.7</v>
      </c>
      <c r="V28" s="177">
        <v>4114</v>
      </c>
      <c r="W28" s="149">
        <v>432.83</v>
      </c>
      <c r="X28" s="173">
        <v>5607</v>
      </c>
      <c r="Y28" s="144">
        <v>531.63</v>
      </c>
      <c r="Z28" s="140">
        <v>5664</v>
      </c>
      <c r="AA28" s="120">
        <v>537.94</v>
      </c>
      <c r="AB28" s="147">
        <f t="shared" si="0"/>
        <v>65038</v>
      </c>
      <c r="AC28" s="147">
        <f t="shared" si="0"/>
        <v>6356.370000000001</v>
      </c>
    </row>
    <row r="29" spans="1:29" ht="12.75">
      <c r="A29" s="6" t="s">
        <v>15</v>
      </c>
      <c r="B29" s="51" t="s">
        <v>139</v>
      </c>
      <c r="C29" s="27" t="s">
        <v>107</v>
      </c>
      <c r="D29" s="174">
        <v>50</v>
      </c>
      <c r="E29" s="145">
        <v>11.36</v>
      </c>
      <c r="F29" s="174">
        <v>50</v>
      </c>
      <c r="G29" s="187">
        <f>2.94+8.42-0.03</f>
        <v>11.33</v>
      </c>
      <c r="H29" s="174">
        <v>50</v>
      </c>
      <c r="I29" s="145">
        <v>8.42</v>
      </c>
      <c r="J29" s="174">
        <v>50</v>
      </c>
      <c r="K29" s="145">
        <v>11.16</v>
      </c>
      <c r="L29" s="140">
        <v>50</v>
      </c>
      <c r="M29" s="144">
        <v>11.24</v>
      </c>
      <c r="N29" s="174">
        <v>50</v>
      </c>
      <c r="O29" s="145">
        <v>12.629999999999999</v>
      </c>
      <c r="P29" s="174">
        <v>50</v>
      </c>
      <c r="Q29" s="145">
        <v>9.56</v>
      </c>
      <c r="R29" s="214">
        <v>50</v>
      </c>
      <c r="S29" s="144">
        <v>11.29</v>
      </c>
      <c r="T29" s="140">
        <v>50</v>
      </c>
      <c r="U29" s="120">
        <v>11.34</v>
      </c>
      <c r="V29" s="177">
        <v>50</v>
      </c>
      <c r="W29" s="149">
        <v>11.27</v>
      </c>
      <c r="X29" s="173">
        <v>50</v>
      </c>
      <c r="Y29" s="144">
        <v>11.29</v>
      </c>
      <c r="Z29" s="140">
        <v>50</v>
      </c>
      <c r="AA29" s="120">
        <v>11.29</v>
      </c>
      <c r="AB29" s="147">
        <f t="shared" si="0"/>
        <v>600</v>
      </c>
      <c r="AC29" s="147">
        <f t="shared" si="0"/>
        <v>132.18</v>
      </c>
    </row>
    <row r="30" spans="1:29" ht="12.75">
      <c r="A30" s="6" t="s">
        <v>16</v>
      </c>
      <c r="B30" s="51" t="s">
        <v>140</v>
      </c>
      <c r="C30" s="27" t="s">
        <v>108</v>
      </c>
      <c r="D30" s="174">
        <v>466</v>
      </c>
      <c r="E30" s="145">
        <f>140.31+27.46+27.67-140.31</f>
        <v>55.129999999999995</v>
      </c>
      <c r="F30" s="140">
        <v>504</v>
      </c>
      <c r="G30" s="150">
        <f>29.69+29.33</f>
        <v>59.019999999999996</v>
      </c>
      <c r="H30" s="140">
        <v>818</v>
      </c>
      <c r="I30" s="120">
        <v>90.33</v>
      </c>
      <c r="J30" s="173">
        <v>723</v>
      </c>
      <c r="K30" s="120">
        <v>80.54</v>
      </c>
      <c r="L30" s="173">
        <v>681</v>
      </c>
      <c r="M30" s="144">
        <v>75.89</v>
      </c>
      <c r="N30" s="140">
        <v>1461</v>
      </c>
      <c r="O30" s="120">
        <v>154.05</v>
      </c>
      <c r="P30" s="140">
        <f>VLOOKUP(B30,'VLOOKUP TABLE'!$A$3:$J$73,6,FALSE)</f>
        <v>4261</v>
      </c>
      <c r="Q30" s="120">
        <f>VLOOKUP(B30,'VLOOKUP TABLE'!$A$3:$J$73,10,FALSE)</f>
        <v>434.48</v>
      </c>
      <c r="R30" s="175">
        <v>1718</v>
      </c>
      <c r="S30" s="120">
        <v>181.53</v>
      </c>
      <c r="T30" s="140">
        <v>2960</v>
      </c>
      <c r="U30" s="120">
        <v>305.7</v>
      </c>
      <c r="V30" s="177">
        <v>875</v>
      </c>
      <c r="W30" s="149">
        <v>96.15</v>
      </c>
      <c r="X30" s="173">
        <v>1831</v>
      </c>
      <c r="Y30" s="144">
        <v>190.9</v>
      </c>
      <c r="Z30" s="140">
        <v>1644</v>
      </c>
      <c r="AA30" s="120">
        <v>173.18</v>
      </c>
      <c r="AB30" s="147">
        <f t="shared" si="0"/>
        <v>17942</v>
      </c>
      <c r="AC30" s="147">
        <f t="shared" si="0"/>
        <v>1896.9000000000003</v>
      </c>
    </row>
    <row r="31" spans="1:29" ht="12.75">
      <c r="A31" s="6" t="s">
        <v>17</v>
      </c>
      <c r="B31" s="51" t="s">
        <v>141</v>
      </c>
      <c r="C31" s="27" t="s">
        <v>109</v>
      </c>
      <c r="D31" s="140">
        <v>14560</v>
      </c>
      <c r="E31" s="120">
        <v>1310.45</v>
      </c>
      <c r="F31" s="140">
        <v>11680</v>
      </c>
      <c r="G31" s="150">
        <v>1122.34</v>
      </c>
      <c r="H31" s="140">
        <v>2960</v>
      </c>
      <c r="I31" s="120">
        <v>582.25</v>
      </c>
      <c r="J31" s="173">
        <v>2600</v>
      </c>
      <c r="K31" s="120">
        <v>551.41</v>
      </c>
      <c r="L31" s="173">
        <v>2440</v>
      </c>
      <c r="M31" s="144">
        <v>527.04</v>
      </c>
      <c r="N31" s="140">
        <v>2720</v>
      </c>
      <c r="O31" s="120">
        <v>547.6</v>
      </c>
      <c r="P31" s="140">
        <f>VLOOKUP(B31,'VLOOKUP TABLE'!$A$3:$J$73,6,FALSE)</f>
        <v>2280</v>
      </c>
      <c r="Q31" s="120">
        <f>VLOOKUP(B31,'VLOOKUP TABLE'!$A$3:$J$73,10,FALSE)</f>
        <v>536.44</v>
      </c>
      <c r="R31" s="175">
        <v>2280</v>
      </c>
      <c r="S31" s="120">
        <v>133.78</v>
      </c>
      <c r="T31" s="140">
        <v>5080</v>
      </c>
      <c r="U31" s="120">
        <v>616.55</v>
      </c>
      <c r="V31" s="177">
        <v>6960</v>
      </c>
      <c r="W31" s="149">
        <v>730.17</v>
      </c>
      <c r="X31" s="173">
        <v>9520</v>
      </c>
      <c r="Y31" s="144">
        <v>896.91</v>
      </c>
      <c r="Z31" s="140">
        <v>9000</v>
      </c>
      <c r="AA31" s="120">
        <v>876.63</v>
      </c>
      <c r="AB31" s="147">
        <f t="shared" si="0"/>
        <v>72080</v>
      </c>
      <c r="AC31" s="147">
        <f t="shared" si="0"/>
        <v>8431.57</v>
      </c>
    </row>
    <row r="32" spans="1:29" ht="12.75">
      <c r="A32" s="6" t="s">
        <v>18</v>
      </c>
      <c r="B32" s="51" t="s">
        <v>142</v>
      </c>
      <c r="C32" s="28" t="s">
        <v>110</v>
      </c>
      <c r="D32" s="140">
        <v>3030</v>
      </c>
      <c r="E32" s="120">
        <v>339.91</v>
      </c>
      <c r="F32" s="140">
        <v>2831</v>
      </c>
      <c r="G32" s="150">
        <v>315.57</v>
      </c>
      <c r="H32" s="140">
        <v>2556</v>
      </c>
      <c r="I32" s="120">
        <v>351.94</v>
      </c>
      <c r="J32" s="174">
        <v>2548</v>
      </c>
      <c r="K32" s="145">
        <v>306.61</v>
      </c>
      <c r="L32" s="140">
        <v>3217</v>
      </c>
      <c r="M32" s="144">
        <v>386.92</v>
      </c>
      <c r="N32" s="140">
        <v>3739</v>
      </c>
      <c r="O32" s="120">
        <v>416.92999999999995</v>
      </c>
      <c r="P32" s="140">
        <f>VLOOKUP(B32,'VLOOKUP TABLE'!$A$3:$J$73,6,FALSE)</f>
        <v>2747</v>
      </c>
      <c r="Q32" s="120">
        <f>VLOOKUP(B32,'VLOOKUP TABLE'!$A$3:$J$73,10,FALSE)</f>
        <v>356.4</v>
      </c>
      <c r="R32" s="175">
        <v>2578</v>
      </c>
      <c r="S32" s="120">
        <v>351.29</v>
      </c>
      <c r="T32" s="140">
        <v>2646</v>
      </c>
      <c r="U32" s="120">
        <v>301.24</v>
      </c>
      <c r="V32" s="177">
        <v>2215</v>
      </c>
      <c r="W32" s="149">
        <v>283.88</v>
      </c>
      <c r="X32" s="173">
        <v>2806</v>
      </c>
      <c r="Y32" s="144">
        <v>318.42</v>
      </c>
      <c r="Z32" s="140">
        <v>2705</v>
      </c>
      <c r="AA32" s="120">
        <v>322.15</v>
      </c>
      <c r="AB32" s="147">
        <f t="shared" si="0"/>
        <v>33618</v>
      </c>
      <c r="AC32" s="147">
        <f t="shared" si="0"/>
        <v>4051.2600000000007</v>
      </c>
    </row>
    <row r="33" spans="1:29" ht="12.75">
      <c r="A33" s="6" t="s">
        <v>19</v>
      </c>
      <c r="B33" s="51" t="s">
        <v>143</v>
      </c>
      <c r="C33" s="28" t="s">
        <v>111</v>
      </c>
      <c r="D33" s="140">
        <v>10240</v>
      </c>
      <c r="E33" s="120">
        <v>1051.13</v>
      </c>
      <c r="F33" s="140">
        <v>10800</v>
      </c>
      <c r="G33" s="150">
        <v>1147.93</v>
      </c>
      <c r="H33" s="140">
        <v>7800</v>
      </c>
      <c r="I33" s="120">
        <v>855.73</v>
      </c>
      <c r="J33" s="173">
        <v>7520</v>
      </c>
      <c r="K33" s="120">
        <v>822.47</v>
      </c>
      <c r="L33" s="140">
        <v>7240</v>
      </c>
      <c r="M33" s="144">
        <v>801.63</v>
      </c>
      <c r="N33" s="140">
        <v>9240</v>
      </c>
      <c r="O33" s="120">
        <v>910.7800000000001</v>
      </c>
      <c r="P33" s="140">
        <f>VLOOKUP(B33,'VLOOKUP TABLE'!$A$3:$J$73,6,FALSE)</f>
        <v>8560</v>
      </c>
      <c r="Q33" s="120">
        <f>VLOOKUP(B33,'VLOOKUP TABLE'!$A$3:$J$73,10,FALSE)</f>
        <v>878.0600000000001</v>
      </c>
      <c r="R33" s="175">
        <v>6840</v>
      </c>
      <c r="S33" s="120">
        <v>787.53</v>
      </c>
      <c r="T33" s="140">
        <v>8280</v>
      </c>
      <c r="U33" s="120">
        <v>893.94</v>
      </c>
      <c r="V33" s="177">
        <v>7920</v>
      </c>
      <c r="W33" s="149">
        <v>866.65</v>
      </c>
      <c r="X33" s="173">
        <v>6600</v>
      </c>
      <c r="Y33" s="144">
        <v>770.79</v>
      </c>
      <c r="Z33" s="140">
        <v>5200</v>
      </c>
      <c r="AA33" s="120">
        <v>646.01</v>
      </c>
      <c r="AB33" s="147">
        <f t="shared" si="0"/>
        <v>96240</v>
      </c>
      <c r="AC33" s="147">
        <f t="shared" si="0"/>
        <v>10432.65</v>
      </c>
    </row>
    <row r="34" spans="1:29" ht="12.75">
      <c r="A34" s="6" t="s">
        <v>205</v>
      </c>
      <c r="B34" s="50" t="s">
        <v>144</v>
      </c>
      <c r="C34" s="27" t="s">
        <v>206</v>
      </c>
      <c r="D34" s="140">
        <v>360</v>
      </c>
      <c r="E34" s="120">
        <v>276.27</v>
      </c>
      <c r="F34" s="140">
        <v>400</v>
      </c>
      <c r="G34" s="150">
        <v>273.19</v>
      </c>
      <c r="H34" s="140">
        <v>360</v>
      </c>
      <c r="I34" s="120">
        <v>275.58</v>
      </c>
      <c r="J34" s="174">
        <v>2</v>
      </c>
      <c r="K34" s="145">
        <v>243.96</v>
      </c>
      <c r="L34" s="140">
        <v>600</v>
      </c>
      <c r="M34" s="144">
        <v>282.1</v>
      </c>
      <c r="N34" s="140">
        <v>280</v>
      </c>
      <c r="O34" s="120">
        <v>261.98</v>
      </c>
      <c r="P34" s="140">
        <f>VLOOKUP(B34,'VLOOKUP TABLE'!$A$3:$J$73,6,FALSE)</f>
        <v>320</v>
      </c>
      <c r="Q34" s="120">
        <f>VLOOKUP(B34,'VLOOKUP TABLE'!$A$3:$J$73,10,FALSE)</f>
        <v>261.75</v>
      </c>
      <c r="R34" s="175">
        <v>480</v>
      </c>
      <c r="S34" s="120">
        <v>419.83</v>
      </c>
      <c r="T34" s="140">
        <v>560</v>
      </c>
      <c r="U34" s="120">
        <v>404.97</v>
      </c>
      <c r="V34" s="177">
        <v>480</v>
      </c>
      <c r="W34" s="149">
        <v>363.93</v>
      </c>
      <c r="X34" s="173">
        <v>480</v>
      </c>
      <c r="Y34" s="144">
        <v>308.32</v>
      </c>
      <c r="Z34" s="140">
        <v>320</v>
      </c>
      <c r="AA34" s="120">
        <v>246.57</v>
      </c>
      <c r="AB34" s="147">
        <f t="shared" si="0"/>
        <v>4642</v>
      </c>
      <c r="AC34" s="147">
        <f t="shared" si="0"/>
        <v>3618.4500000000003</v>
      </c>
    </row>
    <row r="35" spans="1:29" s="38" customFormat="1" ht="12.75">
      <c r="A35" s="6" t="s">
        <v>21</v>
      </c>
      <c r="B35" s="51" t="s">
        <v>145</v>
      </c>
      <c r="C35" s="41" t="s">
        <v>113</v>
      </c>
      <c r="D35" s="140">
        <v>930</v>
      </c>
      <c r="E35" s="120">
        <v>145.88</v>
      </c>
      <c r="F35" s="140">
        <v>855</v>
      </c>
      <c r="G35" s="150">
        <v>184.48</v>
      </c>
      <c r="H35" s="140">
        <v>731</v>
      </c>
      <c r="I35" s="120">
        <v>176.8</v>
      </c>
      <c r="J35" s="173">
        <v>2173</v>
      </c>
      <c r="K35" s="120">
        <v>264.08</v>
      </c>
      <c r="L35" s="140">
        <v>1325</v>
      </c>
      <c r="M35" s="144">
        <v>219.43</v>
      </c>
      <c r="N35" s="140">
        <v>3791</v>
      </c>
      <c r="O35" s="120">
        <v>413.5</v>
      </c>
      <c r="P35" s="140">
        <f>VLOOKUP(B35,'VLOOKUP TABLE'!$A$3:$J$73,6,FALSE)</f>
        <v>2206</v>
      </c>
      <c r="Q35" s="120">
        <f>VLOOKUP(B35,'VLOOKUP TABLE'!$A$3:$J$73,10,FALSE)</f>
        <v>314.81</v>
      </c>
      <c r="R35" s="175">
        <v>870</v>
      </c>
      <c r="S35" s="120">
        <v>235.59</v>
      </c>
      <c r="T35" s="140">
        <v>1421</v>
      </c>
      <c r="U35" s="120">
        <v>269.62</v>
      </c>
      <c r="V35" s="177">
        <v>705</v>
      </c>
      <c r="W35" s="149">
        <v>226.22</v>
      </c>
      <c r="X35" s="173">
        <v>425</v>
      </c>
      <c r="Y35" s="144">
        <v>70.65</v>
      </c>
      <c r="Z35" s="140">
        <v>627</v>
      </c>
      <c r="AA35" s="120">
        <v>84.25</v>
      </c>
      <c r="AB35" s="147">
        <f t="shared" si="0"/>
        <v>16059</v>
      </c>
      <c r="AC35" s="147">
        <f t="shared" si="0"/>
        <v>2605.31</v>
      </c>
    </row>
    <row r="36" spans="1:29" s="38" customFormat="1" ht="12.75">
      <c r="A36" s="38" t="s">
        <v>151</v>
      </c>
      <c r="B36" s="50" t="s">
        <v>152</v>
      </c>
      <c r="C36" s="27" t="s">
        <v>153</v>
      </c>
      <c r="D36" s="174">
        <v>0</v>
      </c>
      <c r="E36" s="145">
        <v>15.36</v>
      </c>
      <c r="F36" s="140">
        <v>0</v>
      </c>
      <c r="G36" s="150">
        <v>15.36</v>
      </c>
      <c r="H36" s="140">
        <v>0</v>
      </c>
      <c r="I36" s="120">
        <v>15.36</v>
      </c>
      <c r="J36" s="174">
        <v>0</v>
      </c>
      <c r="K36" s="145">
        <v>15.36</v>
      </c>
      <c r="L36" s="140">
        <v>0</v>
      </c>
      <c r="M36" s="144">
        <v>15.36</v>
      </c>
      <c r="N36" s="174">
        <v>0</v>
      </c>
      <c r="O36" s="145">
        <v>15.36</v>
      </c>
      <c r="P36" s="174">
        <v>0</v>
      </c>
      <c r="Q36" s="145">
        <v>12.99</v>
      </c>
      <c r="R36" s="214">
        <v>0</v>
      </c>
      <c r="S36" s="144">
        <v>12.99</v>
      </c>
      <c r="T36" s="140">
        <v>0</v>
      </c>
      <c r="U36" s="120">
        <v>12.99</v>
      </c>
      <c r="V36" s="177">
        <v>0</v>
      </c>
      <c r="W36" s="149">
        <v>12.99</v>
      </c>
      <c r="X36" s="173">
        <v>0</v>
      </c>
      <c r="Y36" s="144">
        <v>12.99</v>
      </c>
      <c r="Z36" s="140">
        <v>0</v>
      </c>
      <c r="AA36" s="120">
        <v>12.99</v>
      </c>
      <c r="AB36" s="147">
        <f t="shared" si="0"/>
        <v>0</v>
      </c>
      <c r="AC36" s="147">
        <f t="shared" si="0"/>
        <v>170.10000000000002</v>
      </c>
    </row>
    <row r="37" spans="1:29" ht="12.75">
      <c r="A37" s="6" t="s">
        <v>181</v>
      </c>
      <c r="B37" s="50" t="s">
        <v>182</v>
      </c>
      <c r="C37" s="27" t="s">
        <v>183</v>
      </c>
      <c r="D37" s="140">
        <v>103</v>
      </c>
      <c r="E37" s="120">
        <v>26.83</v>
      </c>
      <c r="F37" s="140">
        <v>7</v>
      </c>
      <c r="G37" s="150">
        <v>16.08</v>
      </c>
      <c r="H37" s="140">
        <v>164</v>
      </c>
      <c r="I37" s="120">
        <v>33.39</v>
      </c>
      <c r="J37" s="173">
        <v>242</v>
      </c>
      <c r="K37" s="120">
        <v>41.6</v>
      </c>
      <c r="L37" s="140">
        <v>257</v>
      </c>
      <c r="M37" s="144">
        <v>43.08</v>
      </c>
      <c r="N37" s="140">
        <v>281</v>
      </c>
      <c r="O37" s="120">
        <v>45.67</v>
      </c>
      <c r="P37" s="140">
        <f>VLOOKUP(B37,'VLOOKUP TABLE'!$A$3:$J$73,6,FALSE)</f>
        <v>247</v>
      </c>
      <c r="Q37" s="120">
        <f>VLOOKUP(B37,'VLOOKUP TABLE'!$A$3:$J$73,10,FALSE)</f>
        <v>42</v>
      </c>
      <c r="R37" s="175">
        <v>237</v>
      </c>
      <c r="S37" s="120">
        <v>41.21</v>
      </c>
      <c r="T37" s="140">
        <v>259</v>
      </c>
      <c r="U37" s="120">
        <v>43.86</v>
      </c>
      <c r="V37" s="177">
        <v>243</v>
      </c>
      <c r="W37" s="149">
        <v>41.95</v>
      </c>
      <c r="X37" s="173">
        <v>261</v>
      </c>
      <c r="Y37" s="144">
        <v>43.9</v>
      </c>
      <c r="Z37" s="140">
        <v>236</v>
      </c>
      <c r="AA37" s="144">
        <v>40.99</v>
      </c>
      <c r="AB37" s="147">
        <f t="shared" si="0"/>
        <v>2537</v>
      </c>
      <c r="AC37" s="147">
        <f t="shared" si="0"/>
        <v>460.56</v>
      </c>
    </row>
    <row r="38" spans="1:29" ht="12.75">
      <c r="A38" s="26" t="s">
        <v>210</v>
      </c>
      <c r="B38" s="51" t="s">
        <v>211</v>
      </c>
      <c r="C38" s="27" t="s">
        <v>212</v>
      </c>
      <c r="D38" s="140">
        <v>910</v>
      </c>
      <c r="E38" s="120">
        <v>117.37</v>
      </c>
      <c r="F38" s="140">
        <v>960</v>
      </c>
      <c r="G38" s="150">
        <v>119.72</v>
      </c>
      <c r="H38" s="140">
        <v>884</v>
      </c>
      <c r="I38" s="120">
        <v>114.69</v>
      </c>
      <c r="J38" s="173">
        <v>1073</v>
      </c>
      <c r="K38" s="120">
        <v>126.27</v>
      </c>
      <c r="L38" s="140">
        <v>1176</v>
      </c>
      <c r="M38" s="144">
        <v>131.85</v>
      </c>
      <c r="N38" s="140">
        <v>1260</v>
      </c>
      <c r="O38" s="120">
        <v>144.82</v>
      </c>
      <c r="P38" s="140">
        <f>VLOOKUP(B38,'VLOOKUP TABLE'!$A$3:$J$73,6,FALSE)</f>
        <v>624</v>
      </c>
      <c r="Q38" s="120">
        <f>VLOOKUP(B38,'VLOOKUP TABLE'!$A$3:$J$73,10,FALSE)</f>
        <v>91.86</v>
      </c>
      <c r="R38" s="175">
        <v>1074</v>
      </c>
      <c r="S38" s="120">
        <v>175.76</v>
      </c>
      <c r="T38" s="140">
        <v>1089</v>
      </c>
      <c r="U38" s="120">
        <v>167.48</v>
      </c>
      <c r="V38" s="177">
        <v>1415</v>
      </c>
      <c r="W38" s="149">
        <v>205.76</v>
      </c>
      <c r="X38" s="177">
        <v>1253</v>
      </c>
      <c r="Y38" s="149">
        <v>186.25</v>
      </c>
      <c r="Z38" s="140">
        <v>1175</v>
      </c>
      <c r="AA38" s="120">
        <v>127.49</v>
      </c>
      <c r="AB38" s="147">
        <f t="shared" si="0"/>
        <v>12893</v>
      </c>
      <c r="AC38" s="147">
        <f t="shared" si="0"/>
        <v>1709.32</v>
      </c>
    </row>
    <row r="39" spans="1:29" ht="12.75">
      <c r="A39" s="26" t="s">
        <v>208</v>
      </c>
      <c r="B39" s="51" t="s">
        <v>209</v>
      </c>
      <c r="C39" s="27" t="s">
        <v>207</v>
      </c>
      <c r="D39" s="140">
        <v>64792</v>
      </c>
      <c r="E39" s="151">
        <v>8442.65</v>
      </c>
      <c r="F39" s="140">
        <v>50180</v>
      </c>
      <c r="G39" s="152">
        <v>6917</v>
      </c>
      <c r="H39" s="140">
        <v>21729</v>
      </c>
      <c r="I39" s="151">
        <v>4353.86</v>
      </c>
      <c r="J39" s="173">
        <v>35639</v>
      </c>
      <c r="K39" s="153">
        <v>5424.45</v>
      </c>
      <c r="L39" s="173">
        <v>31265</v>
      </c>
      <c r="M39" s="153">
        <v>4815.49</v>
      </c>
      <c r="N39" s="140">
        <v>34070</v>
      </c>
      <c r="O39" s="120">
        <v>5003.320000000001</v>
      </c>
      <c r="P39" s="140">
        <f>VLOOKUP(B39,'VLOOKUP TABLE'!$A$3:$J$73,6,FALSE)</f>
        <v>24577</v>
      </c>
      <c r="Q39" s="120">
        <f>VLOOKUP(B39,'VLOOKUP TABLE'!$A$3:$J$73,10,FALSE)</f>
        <v>4502.7300000000005</v>
      </c>
      <c r="R39" s="214">
        <v>17106</v>
      </c>
      <c r="S39" s="144">
        <v>4453.8</v>
      </c>
      <c r="T39" s="140">
        <v>28058</v>
      </c>
      <c r="U39" s="120">
        <v>5030.18</v>
      </c>
      <c r="V39" s="177">
        <v>36005</v>
      </c>
      <c r="W39" s="149">
        <v>6407.82</v>
      </c>
      <c r="X39" s="177">
        <v>51735</v>
      </c>
      <c r="Y39" s="149">
        <v>7696.4</v>
      </c>
      <c r="Z39" s="140">
        <v>67144</v>
      </c>
      <c r="AA39" s="120">
        <v>8736.12</v>
      </c>
      <c r="AB39" s="147">
        <f t="shared" si="0"/>
        <v>462300</v>
      </c>
      <c r="AC39" s="147">
        <f t="shared" si="0"/>
        <v>71783.82</v>
      </c>
    </row>
    <row r="40" spans="1:33" s="61" customFormat="1" ht="12.75">
      <c r="A40" s="59"/>
      <c r="B40" s="60"/>
      <c r="D40" s="141">
        <f aca="true" t="shared" si="1" ref="D40:AA40">SUM(D4:D39)</f>
        <v>555071.6799</v>
      </c>
      <c r="E40" s="97">
        <f t="shared" si="1"/>
        <v>63146.09999999999</v>
      </c>
      <c r="F40" s="141">
        <f t="shared" si="1"/>
        <v>482263.1475</v>
      </c>
      <c r="G40" s="97">
        <f t="shared" si="1"/>
        <v>56630.340000000004</v>
      </c>
      <c r="H40" s="141">
        <f t="shared" si="1"/>
        <v>298192.6825</v>
      </c>
      <c r="I40" s="97">
        <f t="shared" si="1"/>
        <v>42106.210000000014</v>
      </c>
      <c r="J40" s="141">
        <f t="shared" si="1"/>
        <v>319010.3125</v>
      </c>
      <c r="K40" s="97">
        <f t="shared" si="1"/>
        <v>43041.920000000006</v>
      </c>
      <c r="L40" s="141">
        <f t="shared" si="1"/>
        <v>308506.95</v>
      </c>
      <c r="M40" s="97">
        <f t="shared" si="1"/>
        <v>44534.97999999998</v>
      </c>
      <c r="N40" s="141">
        <f t="shared" si="1"/>
        <v>402630.85</v>
      </c>
      <c r="O40" s="95">
        <f t="shared" si="1"/>
        <v>48933.28999999999</v>
      </c>
      <c r="P40" s="141">
        <f t="shared" si="1"/>
        <v>319458.66500000004</v>
      </c>
      <c r="Q40" s="95">
        <f t="shared" si="1"/>
        <v>45063.56</v>
      </c>
      <c r="R40" s="141">
        <f t="shared" si="1"/>
        <v>277871.14749999996</v>
      </c>
      <c r="S40" s="95">
        <f>SUM(S4:S39)</f>
        <v>42213.28999999999</v>
      </c>
      <c r="T40" s="141">
        <f t="shared" si="1"/>
        <v>331505.6975</v>
      </c>
      <c r="U40" s="95">
        <f t="shared" si="1"/>
        <v>46945.46000000001</v>
      </c>
      <c r="V40" s="178">
        <f t="shared" si="1"/>
        <v>327190.19</v>
      </c>
      <c r="W40" s="127">
        <f t="shared" si="1"/>
        <v>46729.869999999995</v>
      </c>
      <c r="X40" s="178">
        <f t="shared" si="1"/>
        <v>358285.7325</v>
      </c>
      <c r="Y40" s="127">
        <f t="shared" si="1"/>
        <v>46755.21000000001</v>
      </c>
      <c r="Z40" s="141">
        <f t="shared" si="1"/>
        <v>370074.6425</v>
      </c>
      <c r="AA40" s="95">
        <f t="shared" si="1"/>
        <v>48716.93</v>
      </c>
      <c r="AB40" s="96">
        <f>SUM(AB4:AB39)</f>
        <v>4350061.6974</v>
      </c>
      <c r="AC40" s="95">
        <f>SUM(AC4:AC39)</f>
        <v>574817.1600000001</v>
      </c>
      <c r="AD40" s="59"/>
      <c r="AE40" s="59"/>
      <c r="AF40" s="59"/>
      <c r="AG40" s="59"/>
    </row>
    <row r="42" spans="18:24" ht="12.75">
      <c r="R42" s="176"/>
      <c r="U42" s="115"/>
      <c r="V42" s="180"/>
      <c r="W42" s="129"/>
      <c r="X42" s="180"/>
    </row>
    <row r="43" spans="1:24" ht="12.75" customHeight="1">
      <c r="A43" s="225" t="s">
        <v>225</v>
      </c>
      <c r="B43" s="226"/>
      <c r="C43" s="226"/>
      <c r="D43" s="226"/>
      <c r="E43" s="227"/>
      <c r="R43" s="176"/>
      <c r="U43" s="115"/>
      <c r="V43" s="180"/>
      <c r="W43" s="129"/>
      <c r="X43" s="180"/>
    </row>
    <row r="44" spans="1:24" ht="12.75">
      <c r="A44" s="228"/>
      <c r="B44" s="229"/>
      <c r="C44" s="229"/>
      <c r="D44" s="229"/>
      <c r="E44" s="230"/>
      <c r="R44" s="176"/>
      <c r="U44" s="115"/>
      <c r="V44" s="180"/>
      <c r="W44" s="129"/>
      <c r="X44" s="180"/>
    </row>
    <row r="45" spans="1:24" ht="12.75">
      <c r="A45" s="228"/>
      <c r="B45" s="229"/>
      <c r="C45" s="229"/>
      <c r="D45" s="229"/>
      <c r="E45" s="230"/>
      <c r="F45" s="186"/>
      <c r="R45" s="176"/>
      <c r="U45" s="115"/>
      <c r="V45" s="180"/>
      <c r="W45" s="129"/>
      <c r="X45" s="180"/>
    </row>
    <row r="46" spans="1:5" ht="12.75">
      <c r="A46" s="228"/>
      <c r="B46" s="229"/>
      <c r="C46" s="229"/>
      <c r="D46" s="229"/>
      <c r="E46" s="230"/>
    </row>
    <row r="47" spans="1:5" ht="12.75">
      <c r="A47" s="228"/>
      <c r="B47" s="229"/>
      <c r="C47" s="229"/>
      <c r="D47" s="229"/>
      <c r="E47" s="230"/>
    </row>
    <row r="48" spans="1:5" ht="12.75">
      <c r="A48" s="228"/>
      <c r="B48" s="229"/>
      <c r="C48" s="229"/>
      <c r="D48" s="229"/>
      <c r="E48" s="230"/>
    </row>
    <row r="49" spans="1:5" ht="12.75">
      <c r="A49" s="231"/>
      <c r="B49" s="232"/>
      <c r="C49" s="232"/>
      <c r="D49" s="232"/>
      <c r="E49" s="233"/>
    </row>
    <row r="50" spans="1:5" ht="12.75">
      <c r="A50" s="111"/>
      <c r="C50" s="111"/>
      <c r="D50" s="170"/>
      <c r="E50" s="112"/>
    </row>
    <row r="51" spans="1:7" ht="12.75">
      <c r="A51" s="111"/>
      <c r="C51" s="111"/>
      <c r="D51" s="181" t="s">
        <v>227</v>
      </c>
      <c r="E51" s="113"/>
      <c r="F51" s="181" t="s">
        <v>227</v>
      </c>
      <c r="G51" s="113"/>
    </row>
    <row r="52" spans="1:7" ht="12.75">
      <c r="A52" s="111"/>
      <c r="C52" s="111"/>
      <c r="D52" s="182">
        <v>63409.5</v>
      </c>
      <c r="E52" s="113" t="s">
        <v>226</v>
      </c>
      <c r="F52" s="182">
        <v>56819.56</v>
      </c>
      <c r="G52" s="113" t="s">
        <v>226</v>
      </c>
    </row>
    <row r="53" spans="4:7" ht="12.75">
      <c r="D53" s="182">
        <f>-('12-13 Usage'!AA19+'12-13 Usage'!AA20+'12-13 Usage'!AA22+'12-13 Usage'!AA28+'12-13 Usage'!AA29+'12-13 Usage'!AA36)</f>
        <v>-905.07</v>
      </c>
      <c r="E53" s="118" t="s">
        <v>229</v>
      </c>
      <c r="F53" s="182">
        <f>-(4.3+19.15-35.27+25.16+71.93+135.58+479.28+11.36+27.46+27.67-140.31+15.36)</f>
        <v>-641.67</v>
      </c>
      <c r="G53" s="118" t="s">
        <v>229</v>
      </c>
    </row>
    <row r="54" spans="4:7" ht="12.75">
      <c r="D54" s="183">
        <v>0</v>
      </c>
      <c r="E54" s="113" t="s">
        <v>228</v>
      </c>
      <c r="F54" s="183">
        <v>0</v>
      </c>
      <c r="G54" s="113" t="s">
        <v>228</v>
      </c>
    </row>
    <row r="55" spans="4:7" ht="12.75">
      <c r="D55" s="182">
        <f>SUM(D52:D54)</f>
        <v>62504.43</v>
      </c>
      <c r="E55" s="113" t="s">
        <v>243</v>
      </c>
      <c r="F55" s="182">
        <f>SUM(F52:F54)</f>
        <v>56177.89</v>
      </c>
      <c r="G55" s="113" t="s">
        <v>244</v>
      </c>
    </row>
    <row r="63813" spans="19:21" ht="12.75">
      <c r="S63813" s="3"/>
      <c r="U63813" s="3"/>
    </row>
    <row r="63815" ht="12.75">
      <c r="P63815" s="169" t="e">
        <f>SUM(#REF!)</f>
        <v>#REF!</v>
      </c>
    </row>
  </sheetData>
  <sheetProtection/>
  <mergeCells count="13">
    <mergeCell ref="A43:E49"/>
    <mergeCell ref="P1:Q1"/>
    <mergeCell ref="R1:S1"/>
    <mergeCell ref="T1:U1"/>
    <mergeCell ref="V1:W1"/>
    <mergeCell ref="X1:Y1"/>
    <mergeCell ref="Z1:AA1"/>
    <mergeCell ref="D1:E1"/>
    <mergeCell ref="F1:G1"/>
    <mergeCell ref="H1:I1"/>
    <mergeCell ref="J1:K1"/>
    <mergeCell ref="L1:M1"/>
    <mergeCell ref="N1:O1"/>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2:J74"/>
  <sheetViews>
    <sheetView zoomScalePageLayoutView="0" workbookViewId="0" topLeftCell="A46">
      <selection activeCell="D3" sqref="D3:J73"/>
    </sheetView>
  </sheetViews>
  <sheetFormatPr defaultColWidth="9.140625" defaultRowHeight="12.75"/>
  <cols>
    <col min="1" max="1" width="18.28125" style="0" bestFit="1" customWidth="1"/>
    <col min="2" max="2" width="2.57421875" style="0" customWidth="1"/>
    <col min="3" max="3" width="27.28125" style="0" customWidth="1"/>
    <col min="6" max="6" width="12.28125" style="0" bestFit="1" customWidth="1"/>
    <col min="9" max="9" width="8.28125" style="0" bestFit="1" customWidth="1"/>
    <col min="10" max="10" width="11.28125" style="0" bestFit="1" customWidth="1"/>
  </cols>
  <sheetData>
    <row r="2" spans="1:10" ht="12.75">
      <c r="A2" s="82" t="s">
        <v>283</v>
      </c>
      <c r="C2" s="82" t="s">
        <v>284</v>
      </c>
      <c r="D2" s="82" t="s">
        <v>285</v>
      </c>
      <c r="E2" s="82" t="s">
        <v>286</v>
      </c>
      <c r="F2" s="82" t="s">
        <v>35</v>
      </c>
      <c r="G2" s="82" t="s">
        <v>287</v>
      </c>
      <c r="H2" s="82" t="s">
        <v>288</v>
      </c>
      <c r="I2" s="82" t="s">
        <v>289</v>
      </c>
      <c r="J2" s="82" t="s">
        <v>290</v>
      </c>
    </row>
    <row r="3" spans="1:10" ht="12.75">
      <c r="A3" s="191" t="s">
        <v>115</v>
      </c>
      <c r="B3" s="192"/>
      <c r="C3" s="192" t="s">
        <v>245</v>
      </c>
      <c r="D3" s="193">
        <v>41681</v>
      </c>
      <c r="E3" s="193">
        <v>41709</v>
      </c>
      <c r="F3" s="194">
        <v>13</v>
      </c>
      <c r="G3" s="195">
        <v>0.75</v>
      </c>
      <c r="H3" s="195">
        <v>13.77</v>
      </c>
      <c r="I3" s="195">
        <v>-0.01</v>
      </c>
      <c r="J3" s="196">
        <f>SUM(G3:I4)</f>
        <v>14.51</v>
      </c>
    </row>
    <row r="4" spans="1:10" ht="12.75">
      <c r="A4" s="197"/>
      <c r="B4" s="192"/>
      <c r="C4" s="198" t="s">
        <v>246</v>
      </c>
      <c r="D4" s="193"/>
      <c r="E4" s="193"/>
      <c r="F4" s="194"/>
      <c r="G4" s="195"/>
      <c r="H4" s="195"/>
      <c r="I4" s="195"/>
      <c r="J4" s="196"/>
    </row>
    <row r="5" spans="1:10" ht="12.75">
      <c r="A5" s="191" t="s">
        <v>116</v>
      </c>
      <c r="B5" s="192"/>
      <c r="C5" s="192" t="s">
        <v>247</v>
      </c>
      <c r="D5" s="199">
        <v>41681</v>
      </c>
      <c r="E5" s="199">
        <v>41709</v>
      </c>
      <c r="F5" s="200">
        <v>748</v>
      </c>
      <c r="G5" s="201">
        <v>43.46</v>
      </c>
      <c r="H5" s="201">
        <v>52.81</v>
      </c>
      <c r="I5" s="201">
        <v>-0.34</v>
      </c>
      <c r="J5" s="202">
        <f>SUM(G5:I6)</f>
        <v>95.93</v>
      </c>
    </row>
    <row r="6" spans="1:10" ht="12.75">
      <c r="A6" s="191"/>
      <c r="B6" s="192"/>
      <c r="C6" s="198" t="s">
        <v>246</v>
      </c>
      <c r="D6" s="203"/>
      <c r="E6" s="203"/>
      <c r="F6" s="204"/>
      <c r="G6" s="205"/>
      <c r="H6" s="205"/>
      <c r="I6" s="205"/>
      <c r="J6" s="202"/>
    </row>
    <row r="7" spans="1:10" ht="12.75">
      <c r="A7" s="191" t="s">
        <v>117</v>
      </c>
      <c r="B7" s="192"/>
      <c r="C7" s="192" t="s">
        <v>248</v>
      </c>
      <c r="D7" s="199">
        <v>41681</v>
      </c>
      <c r="E7" s="199">
        <v>41709</v>
      </c>
      <c r="F7" s="200">
        <v>50</v>
      </c>
      <c r="G7" s="201">
        <v>2.91</v>
      </c>
      <c r="H7" s="201">
        <v>8.37</v>
      </c>
      <c r="I7" s="201">
        <v>-0.03</v>
      </c>
      <c r="J7" s="202">
        <f>SUM(G7:I8)</f>
        <v>11.25</v>
      </c>
    </row>
    <row r="8" spans="1:10" ht="12.75">
      <c r="A8" s="191"/>
      <c r="B8" s="192"/>
      <c r="C8" s="198" t="s">
        <v>246</v>
      </c>
      <c r="D8" s="203"/>
      <c r="E8" s="203"/>
      <c r="F8" s="204"/>
      <c r="G8" s="205"/>
      <c r="H8" s="205"/>
      <c r="I8" s="205"/>
      <c r="J8" s="202"/>
    </row>
    <row r="9" spans="1:10" ht="12.75">
      <c r="A9" s="191" t="s">
        <v>118</v>
      </c>
      <c r="B9" s="192"/>
      <c r="C9" s="192" t="s">
        <v>89</v>
      </c>
      <c r="D9" s="203">
        <v>41681</v>
      </c>
      <c r="E9" s="203">
        <v>41709</v>
      </c>
      <c r="F9" s="204">
        <v>10200</v>
      </c>
      <c r="G9" s="206">
        <v>582.74</v>
      </c>
      <c r="H9" s="206">
        <v>1162.47</v>
      </c>
      <c r="I9" s="206">
        <v>-3.5</v>
      </c>
      <c r="J9" s="202">
        <f>SUM(G9:I10)</f>
        <v>1741.71</v>
      </c>
    </row>
    <row r="10" spans="1:10" ht="12.75">
      <c r="A10" s="191"/>
      <c r="B10" s="192"/>
      <c r="C10" s="198" t="s">
        <v>246</v>
      </c>
      <c r="D10" s="203"/>
      <c r="E10" s="203"/>
      <c r="F10" s="204"/>
      <c r="G10" s="206"/>
      <c r="H10" s="206"/>
      <c r="I10" s="206"/>
      <c r="J10" s="202"/>
    </row>
    <row r="11" spans="1:10" ht="12.75">
      <c r="A11" s="191" t="s">
        <v>119</v>
      </c>
      <c r="B11" s="192"/>
      <c r="C11" s="192" t="s">
        <v>90</v>
      </c>
      <c r="D11" s="203">
        <v>41681</v>
      </c>
      <c r="E11" s="203">
        <v>41708</v>
      </c>
      <c r="F11" s="204">
        <v>61420</v>
      </c>
      <c r="G11" s="205">
        <v>3504.88</v>
      </c>
      <c r="H11" s="205">
        <v>3820.93</v>
      </c>
      <c r="I11" s="205">
        <v>-32.5</v>
      </c>
      <c r="J11" s="202">
        <f>SUM(G11:I12)</f>
        <v>7293.3099999999995</v>
      </c>
    </row>
    <row r="12" spans="1:10" ht="12.75">
      <c r="A12" s="191"/>
      <c r="B12" s="192"/>
      <c r="C12" s="198" t="s">
        <v>249</v>
      </c>
      <c r="D12" s="203"/>
      <c r="E12" s="203"/>
      <c r="F12" s="204"/>
      <c r="G12" s="205"/>
      <c r="H12" s="205"/>
      <c r="I12" s="205"/>
      <c r="J12" s="202"/>
    </row>
    <row r="13" spans="1:10" ht="12.75">
      <c r="A13" s="191" t="s">
        <v>120</v>
      </c>
      <c r="B13" s="192"/>
      <c r="C13" s="192" t="s">
        <v>250</v>
      </c>
      <c r="D13" s="199">
        <v>41681</v>
      </c>
      <c r="E13" s="199">
        <v>41709</v>
      </c>
      <c r="F13" s="200">
        <v>71</v>
      </c>
      <c r="G13" s="201">
        <v>4.13</v>
      </c>
      <c r="H13" s="201">
        <v>8.69</v>
      </c>
      <c r="I13" s="201">
        <v>-0.03</v>
      </c>
      <c r="J13" s="202">
        <f>SUM(G13:I14)</f>
        <v>12.790000000000001</v>
      </c>
    </row>
    <row r="14" spans="1:10" ht="12.75">
      <c r="A14" s="191"/>
      <c r="B14" s="192"/>
      <c r="C14" s="198" t="s">
        <v>249</v>
      </c>
      <c r="D14" s="203"/>
      <c r="E14" s="203"/>
      <c r="F14" s="204"/>
      <c r="G14" s="205"/>
      <c r="H14" s="205"/>
      <c r="I14" s="205"/>
      <c r="J14" s="202"/>
    </row>
    <row r="15" spans="1:10" ht="12.75">
      <c r="A15" s="191" t="s">
        <v>121</v>
      </c>
      <c r="B15" s="192"/>
      <c r="C15" s="192" t="s">
        <v>251</v>
      </c>
      <c r="D15" s="199">
        <v>41681</v>
      </c>
      <c r="E15" s="199">
        <v>41709</v>
      </c>
      <c r="F15" s="200">
        <v>160</v>
      </c>
      <c r="G15" s="201">
        <v>9.29</v>
      </c>
      <c r="H15" s="201">
        <v>14.4</v>
      </c>
      <c r="I15" s="201">
        <v>-0.07</v>
      </c>
      <c r="J15" s="202">
        <f>SUM(G15:I16)</f>
        <v>23.619999999999997</v>
      </c>
    </row>
    <row r="16" spans="1:10" ht="12.75">
      <c r="A16" s="191"/>
      <c r="B16" s="192"/>
      <c r="C16" s="198" t="s">
        <v>249</v>
      </c>
      <c r="D16" s="203"/>
      <c r="E16" s="203"/>
      <c r="F16" s="204"/>
      <c r="G16" s="205"/>
      <c r="H16" s="205"/>
      <c r="I16" s="205"/>
      <c r="J16" s="202"/>
    </row>
    <row r="17" spans="1:10" ht="12.75">
      <c r="A17" s="191" t="s">
        <v>122</v>
      </c>
      <c r="B17" s="192"/>
      <c r="C17" s="192" t="s">
        <v>252</v>
      </c>
      <c r="D17" s="199">
        <v>41681</v>
      </c>
      <c r="E17" s="199">
        <v>41709</v>
      </c>
      <c r="F17" s="200">
        <v>374</v>
      </c>
      <c r="G17" s="201">
        <v>21.74</v>
      </c>
      <c r="H17" s="201">
        <v>26.39</v>
      </c>
      <c r="I17" s="201">
        <v>-0.17</v>
      </c>
      <c r="J17" s="202">
        <f>SUM(G17:I18)</f>
        <v>47.959999999999994</v>
      </c>
    </row>
    <row r="18" spans="1:10" ht="12.75">
      <c r="A18" s="191"/>
      <c r="B18" s="192"/>
      <c r="C18" s="198" t="s">
        <v>249</v>
      </c>
      <c r="D18" s="203"/>
      <c r="E18" s="203"/>
      <c r="F18" s="204"/>
      <c r="G18" s="205"/>
      <c r="H18" s="205"/>
      <c r="I18" s="205"/>
      <c r="J18" s="202"/>
    </row>
    <row r="19" spans="1:10" ht="12.75">
      <c r="A19" s="191" t="s">
        <v>123</v>
      </c>
      <c r="B19" s="192"/>
      <c r="C19" s="192" t="s">
        <v>93</v>
      </c>
      <c r="D19" s="203">
        <v>41681</v>
      </c>
      <c r="E19" s="203">
        <v>41709</v>
      </c>
      <c r="F19" s="204">
        <v>3280</v>
      </c>
      <c r="G19" s="205">
        <v>187.4</v>
      </c>
      <c r="H19" s="205">
        <v>270.04</v>
      </c>
      <c r="I19" s="205">
        <v>-1.47</v>
      </c>
      <c r="J19" s="202">
        <f>SUM(G19:I20)</f>
        <v>455.97</v>
      </c>
    </row>
    <row r="20" spans="1:10" ht="12.75">
      <c r="A20" s="191"/>
      <c r="B20" s="192"/>
      <c r="C20" s="198" t="s">
        <v>253</v>
      </c>
      <c r="D20" s="203"/>
      <c r="E20" s="203"/>
      <c r="F20" s="204"/>
      <c r="G20" s="205"/>
      <c r="H20" s="205"/>
      <c r="I20" s="205"/>
      <c r="J20" s="202"/>
    </row>
    <row r="21" spans="1:10" ht="12.75">
      <c r="A21" s="191" t="s">
        <v>124</v>
      </c>
      <c r="B21" s="192"/>
      <c r="C21" s="192" t="s">
        <v>202</v>
      </c>
      <c r="D21" s="203">
        <v>41681</v>
      </c>
      <c r="E21" s="203">
        <v>41709</v>
      </c>
      <c r="F21" s="204">
        <v>24160</v>
      </c>
      <c r="G21" s="205">
        <v>1392.03</v>
      </c>
      <c r="H21" s="205">
        <v>833.82</v>
      </c>
      <c r="I21" s="205">
        <v>-11.54</v>
      </c>
      <c r="J21" s="202">
        <f>SUM(G21:I22)</f>
        <v>2214.31</v>
      </c>
    </row>
    <row r="22" spans="1:10" ht="12.75">
      <c r="A22" s="191"/>
      <c r="B22" s="192"/>
      <c r="C22" s="198" t="s">
        <v>254</v>
      </c>
      <c r="D22" s="203"/>
      <c r="E22" s="203"/>
      <c r="F22" s="204"/>
      <c r="G22" s="205"/>
      <c r="H22" s="205"/>
      <c r="I22" s="207"/>
      <c r="J22" s="202"/>
    </row>
    <row r="23" spans="1:10" ht="12.75">
      <c r="A23" s="191" t="s">
        <v>125</v>
      </c>
      <c r="B23" s="192"/>
      <c r="C23" s="192" t="s">
        <v>94</v>
      </c>
      <c r="D23" s="203">
        <v>41681</v>
      </c>
      <c r="E23" s="203">
        <v>41708</v>
      </c>
      <c r="F23" s="204">
        <v>36099</v>
      </c>
      <c r="G23" s="205">
        <v>2059.97</v>
      </c>
      <c r="H23" s="205">
        <v>3058.21</v>
      </c>
      <c r="I23" s="205">
        <v>-16.32</v>
      </c>
      <c r="J23" s="202">
        <f>SUM(G23:I24)</f>
        <v>5101.860000000001</v>
      </c>
    </row>
    <row r="24" spans="1:10" ht="12.75">
      <c r="A24" s="191"/>
      <c r="B24" s="192"/>
      <c r="C24" s="198" t="s">
        <v>255</v>
      </c>
      <c r="D24" s="203"/>
      <c r="E24" s="203"/>
      <c r="F24" s="204"/>
      <c r="G24" s="205"/>
      <c r="H24" s="205"/>
      <c r="I24" s="205"/>
      <c r="J24" s="202"/>
    </row>
    <row r="25" spans="1:10" ht="12.75">
      <c r="A25" s="191" t="s">
        <v>126</v>
      </c>
      <c r="B25" s="192"/>
      <c r="C25" s="192" t="s">
        <v>95</v>
      </c>
      <c r="D25" s="203"/>
      <c r="E25" s="203"/>
      <c r="F25" s="204"/>
      <c r="G25" s="205"/>
      <c r="H25" s="205"/>
      <c r="I25" s="205"/>
      <c r="J25" s="202">
        <f>SUM(G25:I26)</f>
        <v>0</v>
      </c>
    </row>
    <row r="26" spans="1:10" ht="12.75">
      <c r="A26" s="191"/>
      <c r="B26" s="192"/>
      <c r="C26" s="198" t="s">
        <v>256</v>
      </c>
      <c r="D26" s="203"/>
      <c r="E26" s="203"/>
      <c r="F26" s="204"/>
      <c r="G26" s="205"/>
      <c r="H26" s="205"/>
      <c r="I26" s="205"/>
      <c r="J26" s="202"/>
    </row>
    <row r="27" spans="1:10" ht="12.75">
      <c r="A27" s="191" t="s">
        <v>127</v>
      </c>
      <c r="B27" s="192"/>
      <c r="C27" s="192" t="s">
        <v>96</v>
      </c>
      <c r="D27" s="203"/>
      <c r="E27" s="203"/>
      <c r="F27" s="204"/>
      <c r="G27" s="205"/>
      <c r="H27" s="205"/>
      <c r="I27" s="205"/>
      <c r="J27" s="202">
        <f>SUM(G27:I28)</f>
        <v>0</v>
      </c>
    </row>
    <row r="28" spans="1:10" ht="12.75">
      <c r="A28" s="191"/>
      <c r="B28" s="192"/>
      <c r="C28" s="198" t="s">
        <v>257</v>
      </c>
      <c r="D28" s="203"/>
      <c r="E28" s="203"/>
      <c r="F28" s="204"/>
      <c r="G28" s="205"/>
      <c r="H28" s="205"/>
      <c r="I28" s="205"/>
      <c r="J28" s="202"/>
    </row>
    <row r="29" spans="1:10" ht="12.75">
      <c r="A29" s="191" t="s">
        <v>128</v>
      </c>
      <c r="B29" s="192"/>
      <c r="C29" s="192" t="s">
        <v>97</v>
      </c>
      <c r="D29" s="199"/>
      <c r="E29" s="199"/>
      <c r="F29" s="200"/>
      <c r="G29" s="201"/>
      <c r="H29" s="201"/>
      <c r="I29" s="201"/>
      <c r="J29" s="202">
        <f>SUM(G29:I30)</f>
        <v>0</v>
      </c>
    </row>
    <row r="30" spans="1:10" ht="12.75">
      <c r="A30" s="191"/>
      <c r="B30" s="192"/>
      <c r="C30" s="198" t="s">
        <v>258</v>
      </c>
      <c r="D30" s="203"/>
      <c r="E30" s="203"/>
      <c r="F30" s="204"/>
      <c r="G30" s="205"/>
      <c r="H30" s="205"/>
      <c r="I30" s="205"/>
      <c r="J30" s="202"/>
    </row>
    <row r="31" spans="1:10" ht="12.75">
      <c r="A31" s="191" t="s">
        <v>129</v>
      </c>
      <c r="B31" s="192"/>
      <c r="C31" s="192" t="s">
        <v>98</v>
      </c>
      <c r="D31" s="203"/>
      <c r="E31" s="203"/>
      <c r="F31" s="204"/>
      <c r="G31" s="205"/>
      <c r="H31" s="205"/>
      <c r="I31" s="205"/>
      <c r="J31" s="202">
        <f>SUM(G31:I32)</f>
        <v>0</v>
      </c>
    </row>
    <row r="32" spans="1:10" ht="12.75">
      <c r="A32" s="191"/>
      <c r="B32" s="192"/>
      <c r="C32" s="198" t="s">
        <v>259</v>
      </c>
      <c r="D32" s="203"/>
      <c r="E32" s="203"/>
      <c r="F32" s="204"/>
      <c r="G32" s="205"/>
      <c r="H32" s="205"/>
      <c r="I32" s="205"/>
      <c r="J32" s="202"/>
    </row>
    <row r="33" spans="1:10" ht="12.75">
      <c r="A33" s="191" t="s">
        <v>130</v>
      </c>
      <c r="B33" s="192"/>
      <c r="C33" s="192" t="s">
        <v>99</v>
      </c>
      <c r="D33" s="199"/>
      <c r="E33" s="199"/>
      <c r="F33" s="200"/>
      <c r="G33" s="201"/>
      <c r="H33" s="201"/>
      <c r="I33" s="201"/>
      <c r="J33" s="202">
        <f>SUM(G33:I34)</f>
        <v>0</v>
      </c>
    </row>
    <row r="34" spans="1:10" ht="12.75">
      <c r="A34" s="191"/>
      <c r="B34" s="192"/>
      <c r="C34" s="198" t="s">
        <v>260</v>
      </c>
      <c r="D34" s="199"/>
      <c r="E34" s="199"/>
      <c r="F34" s="200"/>
      <c r="G34" s="201"/>
      <c r="H34" s="201"/>
      <c r="I34" s="201"/>
      <c r="J34" s="202"/>
    </row>
    <row r="35" spans="1:10" ht="12.75">
      <c r="A35" s="191" t="s">
        <v>167</v>
      </c>
      <c r="B35" s="192"/>
      <c r="C35" s="192" t="s">
        <v>261</v>
      </c>
      <c r="D35" s="199"/>
      <c r="E35" s="199"/>
      <c r="F35" s="200"/>
      <c r="G35" s="201"/>
      <c r="H35" s="201"/>
      <c r="I35" s="201"/>
      <c r="J35" s="202">
        <f>SUM(G35:I36)</f>
        <v>0</v>
      </c>
    </row>
    <row r="36" spans="1:10" ht="12.75">
      <c r="A36" s="191"/>
      <c r="B36" s="192"/>
      <c r="C36" s="198" t="s">
        <v>262</v>
      </c>
      <c r="D36" s="199"/>
      <c r="E36" s="199"/>
      <c r="F36" s="200"/>
      <c r="G36" s="201"/>
      <c r="H36" s="201"/>
      <c r="I36" s="201"/>
      <c r="J36" s="202"/>
    </row>
    <row r="37" spans="1:10" ht="12.75">
      <c r="A37" s="191" t="s">
        <v>131</v>
      </c>
      <c r="B37" s="192"/>
      <c r="C37" s="192" t="s">
        <v>100</v>
      </c>
      <c r="D37" s="203">
        <v>41681</v>
      </c>
      <c r="E37" s="203">
        <v>41709</v>
      </c>
      <c r="F37" s="204">
        <v>28</v>
      </c>
      <c r="G37" s="205">
        <v>1.61</v>
      </c>
      <c r="H37" s="205">
        <v>14.68</v>
      </c>
      <c r="I37" s="205">
        <v>-0.02</v>
      </c>
      <c r="J37" s="202">
        <f>SUM(G37:I38)</f>
        <v>16.27</v>
      </c>
    </row>
    <row r="38" spans="1:10" ht="12.75">
      <c r="A38" s="191"/>
      <c r="B38" s="192"/>
      <c r="C38" s="198" t="s">
        <v>263</v>
      </c>
      <c r="D38" s="203"/>
      <c r="E38" s="203"/>
      <c r="F38" s="204"/>
      <c r="G38" s="205"/>
      <c r="H38" s="205"/>
      <c r="I38" s="205"/>
      <c r="J38" s="202"/>
    </row>
    <row r="39" spans="1:10" ht="12.75">
      <c r="A39" s="191" t="s">
        <v>132</v>
      </c>
      <c r="B39" s="192"/>
      <c r="C39" s="192" t="s">
        <v>101</v>
      </c>
      <c r="D39" s="203"/>
      <c r="E39" s="203"/>
      <c r="F39" s="204"/>
      <c r="G39" s="205"/>
      <c r="H39" s="205"/>
      <c r="I39" s="205"/>
      <c r="J39" s="202">
        <f>SUM(G39:I40)</f>
        <v>0</v>
      </c>
    </row>
    <row r="40" spans="1:10" ht="12.75">
      <c r="A40" s="191"/>
      <c r="B40" s="192"/>
      <c r="C40" s="198" t="s">
        <v>264</v>
      </c>
      <c r="D40" s="203"/>
      <c r="E40" s="203"/>
      <c r="F40" s="204"/>
      <c r="G40" s="205"/>
      <c r="H40" s="205"/>
      <c r="I40" s="205"/>
      <c r="J40" s="202"/>
    </row>
    <row r="41" spans="1:10" ht="12.75">
      <c r="A41" s="191" t="s">
        <v>133</v>
      </c>
      <c r="B41" s="192"/>
      <c r="C41" s="192" t="s">
        <v>102</v>
      </c>
      <c r="D41" s="203">
        <v>41681</v>
      </c>
      <c r="E41" s="203">
        <v>41709</v>
      </c>
      <c r="F41" s="204">
        <v>6287</v>
      </c>
      <c r="G41" s="205">
        <v>359.18</v>
      </c>
      <c r="H41" s="205">
        <v>265.34</v>
      </c>
      <c r="I41" s="205">
        <v>-1.2</v>
      </c>
      <c r="J41" s="202">
        <f>SUM(G41:I42)</f>
        <v>623.3199999999999</v>
      </c>
    </row>
    <row r="42" spans="1:10" ht="12.75">
      <c r="A42" s="191"/>
      <c r="B42" s="192"/>
      <c r="C42" s="198" t="s">
        <v>265</v>
      </c>
      <c r="D42" s="203"/>
      <c r="E42" s="203"/>
      <c r="F42" s="204"/>
      <c r="G42" s="205"/>
      <c r="H42" s="205"/>
      <c r="I42" s="205"/>
      <c r="J42" s="202"/>
    </row>
    <row r="43" spans="1:10" ht="12.75">
      <c r="A43" s="208" t="s">
        <v>134</v>
      </c>
      <c r="B43" s="192"/>
      <c r="C43" s="192" t="s">
        <v>203</v>
      </c>
      <c r="D43" s="203">
        <v>41681</v>
      </c>
      <c r="E43" s="203">
        <v>41709</v>
      </c>
      <c r="F43" s="204">
        <v>40</v>
      </c>
      <c r="G43" s="205">
        <v>2.29</v>
      </c>
      <c r="H43" s="205">
        <v>8.98</v>
      </c>
      <c r="I43" s="205">
        <v>-0.26</v>
      </c>
      <c r="J43" s="202">
        <f>SUM(G43:I44)</f>
        <v>11.01</v>
      </c>
    </row>
    <row r="44" spans="1:10" ht="12.75">
      <c r="A44" s="208"/>
      <c r="B44" s="192"/>
      <c r="C44" s="198" t="s">
        <v>266</v>
      </c>
      <c r="D44" s="203"/>
      <c r="E44" s="203"/>
      <c r="F44" s="204"/>
      <c r="G44" s="205"/>
      <c r="H44" s="205"/>
      <c r="I44" s="205"/>
      <c r="J44" s="202"/>
    </row>
    <row r="45" spans="1:10" ht="12.75">
      <c r="A45" s="191" t="s">
        <v>135</v>
      </c>
      <c r="B45" s="192"/>
      <c r="C45" s="192" t="s">
        <v>104</v>
      </c>
      <c r="D45" s="203">
        <v>41681</v>
      </c>
      <c r="E45" s="203">
        <v>41709</v>
      </c>
      <c r="F45" s="209">
        <v>60676.665</v>
      </c>
      <c r="G45" s="205">
        <v>3303.55</v>
      </c>
      <c r="H45" s="205">
        <v>5404.28</v>
      </c>
      <c r="I45" s="205">
        <v>-21.4</v>
      </c>
      <c r="J45" s="202">
        <f>SUM(G45:I46)</f>
        <v>8686.43</v>
      </c>
    </row>
    <row r="46" spans="1:10" ht="12.75">
      <c r="A46" s="191"/>
      <c r="B46" s="192"/>
      <c r="C46" s="198" t="s">
        <v>267</v>
      </c>
      <c r="D46" s="203"/>
      <c r="E46" s="203"/>
      <c r="F46" s="209"/>
      <c r="G46" s="205"/>
      <c r="H46" s="205"/>
      <c r="I46" s="205"/>
      <c r="J46" s="202"/>
    </row>
    <row r="47" spans="1:10" ht="12.75">
      <c r="A47" s="191" t="s">
        <v>136</v>
      </c>
      <c r="B47" s="192"/>
      <c r="C47" s="192" t="s">
        <v>105</v>
      </c>
      <c r="D47" s="203">
        <v>41681</v>
      </c>
      <c r="E47" s="203">
        <v>41709</v>
      </c>
      <c r="F47" s="204">
        <v>251</v>
      </c>
      <c r="G47" s="205">
        <v>14.34</v>
      </c>
      <c r="H47" s="205">
        <v>517.43</v>
      </c>
      <c r="I47" s="205">
        <v>-0.02</v>
      </c>
      <c r="J47" s="202">
        <f>SUM(G47:I48)</f>
        <v>531.75</v>
      </c>
    </row>
    <row r="48" spans="1:10" ht="12.75">
      <c r="A48" s="191"/>
      <c r="B48" s="192"/>
      <c r="C48" s="198" t="s">
        <v>268</v>
      </c>
      <c r="D48" s="203"/>
      <c r="E48" s="203"/>
      <c r="F48" s="204"/>
      <c r="G48" s="205"/>
      <c r="H48" s="205"/>
      <c r="I48" s="207"/>
      <c r="J48" s="202"/>
    </row>
    <row r="49" spans="1:10" ht="12.75">
      <c r="A49" s="191" t="s">
        <v>137</v>
      </c>
      <c r="B49" s="192"/>
      <c r="C49" s="192" t="s">
        <v>106</v>
      </c>
      <c r="D49" s="203">
        <v>41681</v>
      </c>
      <c r="E49" s="203">
        <v>41709</v>
      </c>
      <c r="F49" s="204">
        <v>19002</v>
      </c>
      <c r="G49" s="205">
        <v>1084.32</v>
      </c>
      <c r="H49" s="205">
        <v>2616.72</v>
      </c>
      <c r="I49" s="205">
        <v>-9.52</v>
      </c>
      <c r="J49" s="202">
        <f>SUM(G49:I50)</f>
        <v>3691.52</v>
      </c>
    </row>
    <row r="50" spans="1:10" ht="12.75">
      <c r="A50" s="191"/>
      <c r="B50" s="192"/>
      <c r="C50" s="198" t="s">
        <v>269</v>
      </c>
      <c r="D50" s="203"/>
      <c r="E50" s="203"/>
      <c r="F50" s="204"/>
      <c r="G50" s="205"/>
      <c r="H50" s="205"/>
      <c r="I50" s="205"/>
      <c r="J50" s="202"/>
    </row>
    <row r="51" spans="1:10" ht="12.75">
      <c r="A51" s="191" t="s">
        <v>138</v>
      </c>
      <c r="B51" s="192"/>
      <c r="C51" s="192" t="s">
        <v>270</v>
      </c>
      <c r="D51" s="199"/>
      <c r="E51" s="199"/>
      <c r="F51" s="200"/>
      <c r="G51" s="201"/>
      <c r="H51" s="201"/>
      <c r="I51" s="201"/>
      <c r="J51" s="202">
        <f>SUM(G51:I52)</f>
        <v>0</v>
      </c>
    </row>
    <row r="52" spans="1:10" ht="12.75">
      <c r="A52" s="191"/>
      <c r="B52" s="192"/>
      <c r="C52" s="198" t="s">
        <v>271</v>
      </c>
      <c r="D52" s="199"/>
      <c r="E52" s="199"/>
      <c r="F52" s="200"/>
      <c r="G52" s="201"/>
      <c r="H52" s="201"/>
      <c r="I52" s="201"/>
      <c r="J52" s="202"/>
    </row>
    <row r="53" spans="1:10" ht="12.75">
      <c r="A53" s="191" t="s">
        <v>139</v>
      </c>
      <c r="B53" s="192"/>
      <c r="C53" s="192" t="s">
        <v>272</v>
      </c>
      <c r="D53" s="210"/>
      <c r="E53" s="210"/>
      <c r="F53" s="211"/>
      <c r="G53" s="212"/>
      <c r="H53" s="212"/>
      <c r="I53" s="212"/>
      <c r="J53" s="202">
        <f>SUM(G53:I54)</f>
        <v>0</v>
      </c>
    </row>
    <row r="54" spans="1:10" ht="12.75">
      <c r="A54" s="191"/>
      <c r="B54" s="192"/>
      <c r="C54" s="198" t="s">
        <v>271</v>
      </c>
      <c r="D54" s="199"/>
      <c r="E54" s="199"/>
      <c r="F54" s="200"/>
      <c r="G54" s="201"/>
      <c r="H54" s="201"/>
      <c r="I54" s="201"/>
      <c r="J54" s="202"/>
    </row>
    <row r="55" spans="1:10" ht="12.75">
      <c r="A55" s="191" t="s">
        <v>140</v>
      </c>
      <c r="B55" s="192"/>
      <c r="C55" s="192" t="s">
        <v>108</v>
      </c>
      <c r="D55" s="203">
        <v>41681</v>
      </c>
      <c r="E55" s="203">
        <v>41709</v>
      </c>
      <c r="F55" s="204">
        <v>4261</v>
      </c>
      <c r="G55" s="205">
        <v>245.34</v>
      </c>
      <c r="H55" s="205">
        <v>189.49</v>
      </c>
      <c r="I55" s="205">
        <v>-0.35</v>
      </c>
      <c r="J55" s="202">
        <f>SUM(G55:I56)</f>
        <v>434.48</v>
      </c>
    </row>
    <row r="56" spans="1:10" ht="12.75">
      <c r="A56" s="191"/>
      <c r="B56" s="192"/>
      <c r="C56" s="198" t="s">
        <v>273</v>
      </c>
      <c r="D56" s="203"/>
      <c r="E56" s="203"/>
      <c r="F56" s="204"/>
      <c r="G56" s="205"/>
      <c r="H56" s="205"/>
      <c r="I56" s="205"/>
      <c r="J56" s="202"/>
    </row>
    <row r="57" spans="1:10" ht="12.75">
      <c r="A57" s="191" t="s">
        <v>141</v>
      </c>
      <c r="B57" s="192"/>
      <c r="C57" s="192" t="s">
        <v>109</v>
      </c>
      <c r="D57" s="203">
        <v>41681</v>
      </c>
      <c r="E57" s="203">
        <v>41709</v>
      </c>
      <c r="F57" s="204">
        <v>2280</v>
      </c>
      <c r="G57" s="205">
        <v>130.26</v>
      </c>
      <c r="H57" s="205">
        <v>407.46</v>
      </c>
      <c r="I57" s="205">
        <v>-1.28</v>
      </c>
      <c r="J57" s="202">
        <f>SUM(G57:I58)</f>
        <v>536.44</v>
      </c>
    </row>
    <row r="58" spans="1:10" ht="12.75">
      <c r="A58" s="191"/>
      <c r="B58" s="192"/>
      <c r="C58" s="198" t="s">
        <v>274</v>
      </c>
      <c r="D58" s="203"/>
      <c r="E58" s="203"/>
      <c r="F58" s="204"/>
      <c r="G58" s="205"/>
      <c r="H58" s="205"/>
      <c r="I58" s="205"/>
      <c r="J58" s="202"/>
    </row>
    <row r="59" spans="1:10" ht="12.75">
      <c r="A59" s="191" t="s">
        <v>142</v>
      </c>
      <c r="B59" s="192"/>
      <c r="C59" s="192" t="s">
        <v>110</v>
      </c>
      <c r="D59" s="203">
        <v>41681</v>
      </c>
      <c r="E59" s="203">
        <v>41709</v>
      </c>
      <c r="F59" s="204">
        <v>2747</v>
      </c>
      <c r="G59" s="205">
        <v>156.95</v>
      </c>
      <c r="H59" s="205">
        <v>200.64</v>
      </c>
      <c r="I59" s="205">
        <v>-1.19</v>
      </c>
      <c r="J59" s="202">
        <f>SUM(G59:I60)</f>
        <v>356.4</v>
      </c>
    </row>
    <row r="60" spans="1:10" ht="12.75">
      <c r="A60" s="191"/>
      <c r="B60" s="192"/>
      <c r="C60" s="198" t="s">
        <v>275</v>
      </c>
      <c r="D60" s="203"/>
      <c r="E60" s="203"/>
      <c r="F60" s="204"/>
      <c r="G60" s="205"/>
      <c r="H60" s="205"/>
      <c r="I60" s="205"/>
      <c r="J60" s="202"/>
    </row>
    <row r="61" spans="1:10" ht="12.75">
      <c r="A61" s="191" t="s">
        <v>143</v>
      </c>
      <c r="B61" s="192"/>
      <c r="C61" s="192" t="s">
        <v>111</v>
      </c>
      <c r="D61" s="203">
        <v>41681</v>
      </c>
      <c r="E61" s="203">
        <v>41709</v>
      </c>
      <c r="F61" s="204">
        <v>8560</v>
      </c>
      <c r="G61" s="205">
        <v>489.04</v>
      </c>
      <c r="H61" s="205">
        <v>392.6</v>
      </c>
      <c r="I61" s="205">
        <v>-3.58</v>
      </c>
      <c r="J61" s="202">
        <f>SUM(G61:I62)</f>
        <v>878.0600000000001</v>
      </c>
    </row>
    <row r="62" spans="1:10" ht="12.75">
      <c r="A62" s="191"/>
      <c r="B62" s="192"/>
      <c r="C62" s="198" t="s">
        <v>276</v>
      </c>
      <c r="D62" s="203"/>
      <c r="E62" s="203"/>
      <c r="F62" s="204"/>
      <c r="G62" s="205"/>
      <c r="H62" s="205"/>
      <c r="I62" s="205"/>
      <c r="J62" s="202"/>
    </row>
    <row r="63" spans="1:10" ht="12.75">
      <c r="A63" s="208" t="s">
        <v>144</v>
      </c>
      <c r="B63" s="192"/>
      <c r="C63" s="192" t="s">
        <v>205</v>
      </c>
      <c r="D63" s="203">
        <v>41681</v>
      </c>
      <c r="E63" s="203">
        <v>41709</v>
      </c>
      <c r="F63" s="204">
        <v>320</v>
      </c>
      <c r="G63" s="205">
        <v>18.28</v>
      </c>
      <c r="H63" s="205">
        <v>243.53</v>
      </c>
      <c r="I63" s="205">
        <v>-0.06</v>
      </c>
      <c r="J63" s="202">
        <f>SUM(G63:I64)</f>
        <v>261.75</v>
      </c>
    </row>
    <row r="64" spans="1:10" ht="12.75">
      <c r="A64" s="208"/>
      <c r="B64" s="192"/>
      <c r="C64" s="198" t="s">
        <v>277</v>
      </c>
      <c r="D64" s="203"/>
      <c r="E64" s="203"/>
      <c r="F64" s="204"/>
      <c r="G64" s="205"/>
      <c r="H64" s="205"/>
      <c r="I64" s="205"/>
      <c r="J64" s="202"/>
    </row>
    <row r="65" spans="1:10" ht="12.75">
      <c r="A65" s="191" t="s">
        <v>145</v>
      </c>
      <c r="B65" s="192"/>
      <c r="C65" s="192" t="s">
        <v>113</v>
      </c>
      <c r="D65" s="203">
        <v>41681</v>
      </c>
      <c r="E65" s="203">
        <v>41709</v>
      </c>
      <c r="F65" s="204">
        <v>2206</v>
      </c>
      <c r="G65" s="205">
        <v>126.03</v>
      </c>
      <c r="H65" s="205">
        <v>189.54</v>
      </c>
      <c r="I65" s="205">
        <v>-0.76</v>
      </c>
      <c r="J65" s="202">
        <f>SUM(G65:I66)</f>
        <v>314.81</v>
      </c>
    </row>
    <row r="66" spans="1:10" ht="12.75">
      <c r="A66" s="191"/>
      <c r="B66" s="192"/>
      <c r="C66" s="198" t="s">
        <v>278</v>
      </c>
      <c r="D66" s="203"/>
      <c r="E66" s="203"/>
      <c r="F66" s="204"/>
      <c r="G66" s="205"/>
      <c r="H66" s="205"/>
      <c r="I66" s="205"/>
      <c r="J66" s="202"/>
    </row>
    <row r="67" spans="1:10" ht="12.75">
      <c r="A67" s="208" t="s">
        <v>152</v>
      </c>
      <c r="B67" s="192"/>
      <c r="C67" s="192" t="s">
        <v>279</v>
      </c>
      <c r="D67" s="199"/>
      <c r="E67" s="199"/>
      <c r="F67" s="200"/>
      <c r="G67" s="201"/>
      <c r="H67" s="201"/>
      <c r="I67" s="201"/>
      <c r="J67" s="202">
        <f>SUM(G67:I68)</f>
        <v>0</v>
      </c>
    </row>
    <row r="68" spans="1:10" ht="12.75">
      <c r="A68" s="208"/>
      <c r="B68" s="192"/>
      <c r="C68" s="198" t="s">
        <v>153</v>
      </c>
      <c r="D68" s="203"/>
      <c r="E68" s="203"/>
      <c r="F68" s="204"/>
      <c r="G68" s="205"/>
      <c r="H68" s="205"/>
      <c r="I68" s="205"/>
      <c r="J68" s="202"/>
    </row>
    <row r="69" spans="1:10" ht="12.75">
      <c r="A69" s="208" t="s">
        <v>182</v>
      </c>
      <c r="B69" s="192"/>
      <c r="C69" s="192" t="s">
        <v>280</v>
      </c>
      <c r="D69" s="203">
        <v>41681</v>
      </c>
      <c r="E69" s="203">
        <v>41709</v>
      </c>
      <c r="F69" s="204">
        <v>247</v>
      </c>
      <c r="G69" s="205">
        <v>14.21</v>
      </c>
      <c r="H69" s="205">
        <v>27.89</v>
      </c>
      <c r="I69" s="205">
        <v>-0.1</v>
      </c>
      <c r="J69" s="202">
        <f>SUM(G69:I70)</f>
        <v>42</v>
      </c>
    </row>
    <row r="70" spans="1:10" ht="12.75">
      <c r="A70" s="208"/>
      <c r="B70" s="192"/>
      <c r="C70" s="198" t="s">
        <v>281</v>
      </c>
      <c r="D70" s="203"/>
      <c r="E70" s="203"/>
      <c r="F70" s="204"/>
      <c r="G70" s="205"/>
      <c r="H70" s="205"/>
      <c r="I70" s="205"/>
      <c r="J70" s="202"/>
    </row>
    <row r="71" spans="1:10" ht="12.75">
      <c r="A71" s="191" t="s">
        <v>211</v>
      </c>
      <c r="B71" s="192"/>
      <c r="C71" s="192" t="s">
        <v>282</v>
      </c>
      <c r="D71" s="203">
        <v>41681</v>
      </c>
      <c r="E71" s="203">
        <v>41709</v>
      </c>
      <c r="F71" s="204">
        <v>624</v>
      </c>
      <c r="G71" s="205">
        <v>35.66</v>
      </c>
      <c r="H71" s="205">
        <v>56.67</v>
      </c>
      <c r="I71" s="205">
        <v>-0.47</v>
      </c>
      <c r="J71" s="202">
        <f>SUM(G71:I72)</f>
        <v>91.86</v>
      </c>
    </row>
    <row r="72" spans="1:10" ht="12.75">
      <c r="A72" s="191"/>
      <c r="B72" s="192"/>
      <c r="C72" s="198" t="s">
        <v>212</v>
      </c>
      <c r="D72" s="203"/>
      <c r="E72" s="203"/>
      <c r="F72" s="204"/>
      <c r="G72" s="205"/>
      <c r="H72" s="205"/>
      <c r="I72" s="205"/>
      <c r="J72" s="202"/>
    </row>
    <row r="73" spans="1:10" ht="12.75">
      <c r="A73" s="191" t="s">
        <v>209</v>
      </c>
      <c r="B73" s="192"/>
      <c r="C73" s="192" t="s">
        <v>208</v>
      </c>
      <c r="D73" s="203">
        <v>41681</v>
      </c>
      <c r="E73" s="203">
        <v>41708</v>
      </c>
      <c r="F73" s="204">
        <v>24577</v>
      </c>
      <c r="G73" s="205">
        <v>1518.17</v>
      </c>
      <c r="H73" s="205">
        <v>3000.21</v>
      </c>
      <c r="I73" s="205">
        <v>-15.65</v>
      </c>
      <c r="J73" s="202">
        <f>SUM(G73:I74)</f>
        <v>4502.7300000000005</v>
      </c>
    </row>
    <row r="74" spans="1:10" ht="12.75">
      <c r="A74" s="197"/>
      <c r="B74" s="192"/>
      <c r="C74" s="192" t="s">
        <v>207</v>
      </c>
      <c r="D74" s="203"/>
      <c r="E74" s="203"/>
      <c r="F74" s="204"/>
      <c r="G74" s="205"/>
      <c r="H74" s="205"/>
      <c r="I74" s="207"/>
      <c r="J74" s="20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37"/>
  <sheetViews>
    <sheetView zoomScalePageLayoutView="0" workbookViewId="0" topLeftCell="H15">
      <selection activeCell="T3" sqref="T3:U37"/>
    </sheetView>
  </sheetViews>
  <sheetFormatPr defaultColWidth="9.140625" defaultRowHeight="12.75"/>
  <cols>
    <col min="1" max="1" width="20.00390625" style="6" customWidth="1"/>
    <col min="2" max="2" width="7.28125" style="0" customWidth="1"/>
    <col min="3" max="3" width="8.28125" style="3" customWidth="1"/>
    <col min="4" max="4" width="8.57421875" style="0" customWidth="1"/>
    <col min="5" max="5" width="8.8515625" style="6" customWidth="1"/>
    <col min="6" max="6" width="8.7109375" style="0" customWidth="1"/>
    <col min="7" max="7" width="9.421875" style="6" customWidth="1"/>
    <col min="8" max="8" width="7.7109375" style="0" customWidth="1"/>
    <col min="9" max="9" width="9.140625" style="6" customWidth="1"/>
    <col min="10" max="10" width="7.57421875" style="0" customWidth="1"/>
    <col min="11" max="11" width="9.140625" style="6" customWidth="1"/>
    <col min="12" max="12" width="8.57421875" style="0" customWidth="1"/>
    <col min="13" max="13" width="9.140625" style="6" customWidth="1"/>
    <col min="14" max="14" width="7.8515625" style="0" customWidth="1"/>
    <col min="15" max="15" width="9.140625" style="6" customWidth="1"/>
    <col min="16" max="16" width="6.8515625" style="0" customWidth="1"/>
    <col min="17" max="17" width="9.140625" style="6" customWidth="1"/>
    <col min="18" max="18" width="7.28125" style="0" customWidth="1"/>
    <col min="19" max="19" width="9.140625" style="6" customWidth="1"/>
    <col min="20" max="20" width="6.8515625" style="0" customWidth="1"/>
    <col min="21" max="21" width="11.00390625" style="6" customWidth="1"/>
    <col min="22" max="22" width="9.7109375" style="0" customWidth="1"/>
    <col min="23" max="23" width="9.140625" style="6" customWidth="1"/>
    <col min="24" max="24" width="9.00390625" style="0" customWidth="1"/>
    <col min="25" max="25" width="9.140625" style="6" customWidth="1"/>
    <col min="27" max="27" width="12.00390625" style="0" customWidth="1"/>
  </cols>
  <sheetData>
    <row r="1" ht="12.75">
      <c r="V1" s="18">
        <f>SUM(V35)</f>
        <v>176</v>
      </c>
    </row>
    <row r="2" spans="1:25" s="1" customFormat="1" ht="12.75">
      <c r="A2" s="4"/>
      <c r="C2" s="2"/>
      <c r="E2" s="4"/>
      <c r="G2" s="4"/>
      <c r="I2" s="4"/>
      <c r="K2" s="4"/>
      <c r="M2" s="4"/>
      <c r="O2" s="4"/>
      <c r="Q2" s="4"/>
      <c r="S2" s="4"/>
      <c r="U2" s="4"/>
      <c r="W2" s="4"/>
      <c r="Y2" s="4"/>
    </row>
    <row r="3" spans="1:26" s="12" customFormat="1" ht="12.75">
      <c r="A3" s="11"/>
      <c r="B3" s="12" t="s">
        <v>38</v>
      </c>
      <c r="C3" s="13"/>
      <c r="D3" s="12" t="s">
        <v>39</v>
      </c>
      <c r="E3" s="11"/>
      <c r="F3" s="12" t="s">
        <v>40</v>
      </c>
      <c r="G3" s="11"/>
      <c r="H3" s="12" t="s">
        <v>41</v>
      </c>
      <c r="I3" s="11"/>
      <c r="J3" s="12" t="s">
        <v>42</v>
      </c>
      <c r="K3" s="11"/>
      <c r="L3" s="12" t="s">
        <v>43</v>
      </c>
      <c r="M3" s="11"/>
      <c r="N3" s="12" t="s">
        <v>44</v>
      </c>
      <c r="O3" s="11"/>
      <c r="P3" s="12" t="s">
        <v>45</v>
      </c>
      <c r="Q3" s="11"/>
      <c r="R3" s="12" t="s">
        <v>46</v>
      </c>
      <c r="S3" s="11"/>
      <c r="T3" s="12" t="s">
        <v>47</v>
      </c>
      <c r="U3" s="11"/>
      <c r="V3" s="12" t="s">
        <v>48</v>
      </c>
      <c r="W3" s="31"/>
      <c r="X3" s="12" t="s">
        <v>49</v>
      </c>
      <c r="Y3" s="11"/>
      <c r="Z3" s="12" t="s">
        <v>37</v>
      </c>
    </row>
    <row r="4" spans="1:27" s="15" customFormat="1" ht="12.75">
      <c r="A4" s="14" t="s">
        <v>0</v>
      </c>
      <c r="B4" s="15" t="s">
        <v>35</v>
      </c>
      <c r="C4" s="16" t="s">
        <v>36</v>
      </c>
      <c r="D4" s="15" t="s">
        <v>35</v>
      </c>
      <c r="E4" s="16" t="s">
        <v>36</v>
      </c>
      <c r="F4" s="15" t="s">
        <v>35</v>
      </c>
      <c r="G4" s="16" t="s">
        <v>36</v>
      </c>
      <c r="H4" s="15" t="s">
        <v>35</v>
      </c>
      <c r="I4" s="16" t="s">
        <v>36</v>
      </c>
      <c r="J4" s="15" t="s">
        <v>35</v>
      </c>
      <c r="K4" s="16" t="s">
        <v>36</v>
      </c>
      <c r="L4" s="15" t="s">
        <v>35</v>
      </c>
      <c r="M4" s="16" t="s">
        <v>36</v>
      </c>
      <c r="N4" s="15" t="s">
        <v>35</v>
      </c>
      <c r="O4" s="16" t="s">
        <v>36</v>
      </c>
      <c r="P4" s="15" t="s">
        <v>35</v>
      </c>
      <c r="Q4" s="16" t="s">
        <v>36</v>
      </c>
      <c r="R4" s="15" t="s">
        <v>35</v>
      </c>
      <c r="S4" s="16" t="s">
        <v>36</v>
      </c>
      <c r="T4" s="15" t="s">
        <v>35</v>
      </c>
      <c r="U4" s="16" t="s">
        <v>36</v>
      </c>
      <c r="V4" s="30" t="s">
        <v>35</v>
      </c>
      <c r="W4" s="16" t="s">
        <v>36</v>
      </c>
      <c r="X4" s="15" t="s">
        <v>35</v>
      </c>
      <c r="Y4" s="16" t="s">
        <v>36</v>
      </c>
      <c r="Z4" s="15" t="s">
        <v>35</v>
      </c>
      <c r="AA4" s="15" t="s">
        <v>36</v>
      </c>
    </row>
    <row r="5" spans="1:25" s="24" customFormat="1" ht="12.75">
      <c r="A5" s="5"/>
      <c r="C5" s="25"/>
      <c r="E5" s="25"/>
      <c r="G5" s="25"/>
      <c r="I5" s="25"/>
      <c r="K5" s="25"/>
      <c r="M5" s="25"/>
      <c r="O5" s="25"/>
      <c r="Q5" s="25"/>
      <c r="S5" s="25"/>
      <c r="U5" s="25"/>
      <c r="W5" s="25"/>
      <c r="Y5" s="25"/>
    </row>
    <row r="6" spans="1:27" ht="12.75">
      <c r="A6" s="26" t="s">
        <v>50</v>
      </c>
      <c r="C6" s="3">
        <v>96.04</v>
      </c>
      <c r="E6" s="6">
        <v>96.04</v>
      </c>
      <c r="G6" s="6">
        <v>112.49</v>
      </c>
      <c r="I6" s="6">
        <v>112.49</v>
      </c>
      <c r="K6" s="6">
        <v>113.83</v>
      </c>
      <c r="M6" s="6">
        <v>113.83</v>
      </c>
      <c r="O6" s="6">
        <v>113.83</v>
      </c>
      <c r="Q6" s="6">
        <v>113.83</v>
      </c>
      <c r="S6" s="3">
        <v>85.59</v>
      </c>
      <c r="T6">
        <v>640</v>
      </c>
      <c r="U6" s="3">
        <v>112.55</v>
      </c>
      <c r="V6">
        <v>640</v>
      </c>
      <c r="W6" s="6">
        <v>112.55</v>
      </c>
      <c r="X6" s="17">
        <v>640</v>
      </c>
      <c r="Y6" s="6">
        <v>112.55</v>
      </c>
      <c r="Z6">
        <f>T6+V6+X6</f>
        <v>1920</v>
      </c>
      <c r="AA6" s="18">
        <f>C6+E6+G6+I6+K6+M6+O6+Q6+S6+U6+W6+Y6</f>
        <v>1295.6200000000001</v>
      </c>
    </row>
    <row r="7" spans="1:27" ht="12.75">
      <c r="A7" s="6" t="s">
        <v>1</v>
      </c>
      <c r="B7">
        <v>100</v>
      </c>
      <c r="C7" s="3">
        <v>13.08</v>
      </c>
      <c r="D7">
        <v>78</v>
      </c>
      <c r="E7" s="6">
        <v>10.95</v>
      </c>
      <c r="F7" s="17">
        <v>1</v>
      </c>
      <c r="G7" s="6">
        <v>3.54</v>
      </c>
      <c r="H7" s="17">
        <v>1</v>
      </c>
      <c r="I7" s="6">
        <v>3.54</v>
      </c>
      <c r="J7" s="17">
        <v>18</v>
      </c>
      <c r="K7" s="6">
        <v>5.17</v>
      </c>
      <c r="L7" s="17">
        <v>1</v>
      </c>
      <c r="M7" s="6">
        <v>3.54</v>
      </c>
      <c r="N7" s="17">
        <v>1</v>
      </c>
      <c r="O7" s="6">
        <v>3.54</v>
      </c>
      <c r="P7" s="17">
        <v>3</v>
      </c>
      <c r="Q7" s="6">
        <v>3.73</v>
      </c>
      <c r="R7" s="17">
        <v>2</v>
      </c>
      <c r="S7" s="6">
        <v>3.26</v>
      </c>
      <c r="T7" s="17">
        <v>17</v>
      </c>
      <c r="U7" s="6">
        <v>5.23</v>
      </c>
      <c r="W7" s="6">
        <v>3.11</v>
      </c>
      <c r="X7" s="17">
        <v>257</v>
      </c>
      <c r="Y7" s="6">
        <v>35.1</v>
      </c>
      <c r="Z7">
        <f aca="true" t="shared" si="0" ref="Z7:AA35">B7+D7+F7+H7+J7+L7+N7+P7+R7+T7+V7+X7</f>
        <v>479</v>
      </c>
      <c r="AA7" s="18">
        <f t="shared" si="0"/>
        <v>93.78999999999999</v>
      </c>
    </row>
    <row r="8" spans="1:27" ht="12.75">
      <c r="A8" s="6" t="s">
        <v>1</v>
      </c>
      <c r="B8">
        <v>748</v>
      </c>
      <c r="C8" s="3">
        <v>96.1</v>
      </c>
      <c r="D8">
        <v>748</v>
      </c>
      <c r="E8" s="6">
        <v>96.1</v>
      </c>
      <c r="F8" s="17">
        <v>748</v>
      </c>
      <c r="G8" s="6">
        <v>96.1</v>
      </c>
      <c r="H8" s="17">
        <v>748</v>
      </c>
      <c r="I8" s="6">
        <v>96.1</v>
      </c>
      <c r="J8" s="17">
        <v>748</v>
      </c>
      <c r="K8" s="6">
        <v>96.1</v>
      </c>
      <c r="L8" s="17">
        <v>748</v>
      </c>
      <c r="M8" s="6">
        <v>96.1</v>
      </c>
      <c r="N8" s="17">
        <v>748</v>
      </c>
      <c r="O8" s="6">
        <v>96.1</v>
      </c>
      <c r="P8" s="17">
        <v>748</v>
      </c>
      <c r="Q8" s="6">
        <v>96.1</v>
      </c>
      <c r="R8" s="17">
        <v>748</v>
      </c>
      <c r="S8" s="6">
        <v>95.73</v>
      </c>
      <c r="T8" s="17">
        <v>748</v>
      </c>
      <c r="U8" s="6">
        <v>114.91</v>
      </c>
      <c r="V8" s="17">
        <v>748</v>
      </c>
      <c r="W8" s="6">
        <v>114.91</v>
      </c>
      <c r="X8" s="17">
        <v>748</v>
      </c>
      <c r="Y8" s="6">
        <v>114.91</v>
      </c>
      <c r="Z8">
        <f t="shared" si="0"/>
        <v>8976</v>
      </c>
      <c r="AA8" s="18">
        <f t="shared" si="0"/>
        <v>1209.2600000000002</v>
      </c>
    </row>
    <row r="9" spans="1:27" ht="12.75">
      <c r="A9" s="6" t="s">
        <v>1</v>
      </c>
      <c r="B9">
        <v>50</v>
      </c>
      <c r="C9" s="3">
        <v>11.43</v>
      </c>
      <c r="D9">
        <v>50</v>
      </c>
      <c r="E9" s="6">
        <v>11.43</v>
      </c>
      <c r="F9" s="17">
        <v>50</v>
      </c>
      <c r="G9" s="6">
        <v>11.43</v>
      </c>
      <c r="H9" s="17">
        <v>50</v>
      </c>
      <c r="I9" s="6">
        <v>11.43</v>
      </c>
      <c r="J9" s="17">
        <v>50</v>
      </c>
      <c r="K9" s="6">
        <v>11.43</v>
      </c>
      <c r="L9" s="17">
        <v>50</v>
      </c>
      <c r="M9" s="6">
        <v>11.43</v>
      </c>
      <c r="N9" s="17">
        <v>50</v>
      </c>
      <c r="O9" s="6">
        <v>11.43</v>
      </c>
      <c r="P9" s="17">
        <v>50</v>
      </c>
      <c r="Q9" s="6">
        <v>11.43</v>
      </c>
      <c r="R9" s="17">
        <v>50</v>
      </c>
      <c r="S9" s="6">
        <v>11.06</v>
      </c>
      <c r="T9" s="17">
        <v>50</v>
      </c>
      <c r="U9" s="6">
        <v>12.24</v>
      </c>
      <c r="V9" s="17">
        <v>50</v>
      </c>
      <c r="W9" s="6">
        <v>12.24</v>
      </c>
      <c r="X9" s="17">
        <v>50</v>
      </c>
      <c r="Y9" s="6">
        <v>12.24</v>
      </c>
      <c r="Z9">
        <f t="shared" si="0"/>
        <v>600</v>
      </c>
      <c r="AA9" s="18">
        <f t="shared" si="0"/>
        <v>139.22</v>
      </c>
    </row>
    <row r="10" spans="1:27" ht="12.75">
      <c r="A10" s="6" t="s">
        <v>1</v>
      </c>
      <c r="B10">
        <v>12560</v>
      </c>
      <c r="C10" s="3">
        <v>1849.24</v>
      </c>
      <c r="D10">
        <v>12160</v>
      </c>
      <c r="E10" s="6">
        <v>1825.64</v>
      </c>
      <c r="F10" s="17">
        <v>9280</v>
      </c>
      <c r="G10" s="6">
        <v>1714.01</v>
      </c>
      <c r="H10" s="17">
        <v>7760</v>
      </c>
      <c r="I10" s="6">
        <v>1478.47</v>
      </c>
      <c r="J10" s="17">
        <v>6640</v>
      </c>
      <c r="K10" s="6">
        <v>1222.71</v>
      </c>
      <c r="L10" s="17">
        <v>6960</v>
      </c>
      <c r="M10" s="6">
        <v>1242.84</v>
      </c>
      <c r="N10" s="17">
        <v>9840</v>
      </c>
      <c r="O10" s="6">
        <v>1584.82</v>
      </c>
      <c r="P10" s="17">
        <v>6320</v>
      </c>
      <c r="Q10" s="6">
        <v>1312.72</v>
      </c>
      <c r="R10" s="17">
        <v>6720</v>
      </c>
      <c r="S10" s="6">
        <v>1326.27</v>
      </c>
      <c r="T10" s="17">
        <v>5840</v>
      </c>
      <c r="U10" s="6">
        <v>1321.22</v>
      </c>
      <c r="V10" s="17">
        <v>4480</v>
      </c>
      <c r="W10" s="6">
        <v>1138.33</v>
      </c>
      <c r="X10" s="17">
        <v>5760</v>
      </c>
      <c r="Y10" s="6">
        <v>1251.49</v>
      </c>
      <c r="Z10">
        <f t="shared" si="0"/>
        <v>94320</v>
      </c>
      <c r="AA10" s="18">
        <f t="shared" si="0"/>
        <v>17267.76</v>
      </c>
    </row>
    <row r="11" spans="1:27" ht="12.75">
      <c r="A11" s="6" t="s">
        <v>2</v>
      </c>
      <c r="B11" s="7">
        <v>184160</v>
      </c>
      <c r="C11" s="3">
        <v>15155.35</v>
      </c>
      <c r="D11">
        <v>162560</v>
      </c>
      <c r="E11" s="6">
        <v>13734.8</v>
      </c>
      <c r="F11" s="17">
        <v>113600</v>
      </c>
      <c r="G11" s="6">
        <v>10113.35</v>
      </c>
      <c r="H11" s="17">
        <v>104640</v>
      </c>
      <c r="I11" s="6">
        <v>9548.56</v>
      </c>
      <c r="J11" s="17">
        <v>80000</v>
      </c>
      <c r="K11" s="6">
        <v>7916.86</v>
      </c>
      <c r="L11" s="17">
        <v>96640</v>
      </c>
      <c r="M11" s="6">
        <v>8927.41</v>
      </c>
      <c r="N11" s="17">
        <v>106240</v>
      </c>
      <c r="O11" s="6">
        <v>9532.94</v>
      </c>
      <c r="P11" s="17">
        <v>97440</v>
      </c>
      <c r="Q11" s="6">
        <v>9092.25</v>
      </c>
      <c r="R11" s="17">
        <v>124640</v>
      </c>
      <c r="S11" s="6">
        <v>11328.93</v>
      </c>
      <c r="T11" s="17">
        <v>148800</v>
      </c>
      <c r="U11" s="6">
        <v>16937.69</v>
      </c>
      <c r="V11" s="17">
        <v>101120</v>
      </c>
      <c r="W11" s="6">
        <v>12103.54</v>
      </c>
      <c r="X11" s="17">
        <v>148160</v>
      </c>
      <c r="Y11" s="6">
        <v>16733.28</v>
      </c>
      <c r="Z11">
        <f t="shared" si="0"/>
        <v>1468000</v>
      </c>
      <c r="AA11" s="18">
        <f t="shared" si="0"/>
        <v>141124.96000000002</v>
      </c>
    </row>
    <row r="12" spans="1:27" ht="12.75">
      <c r="A12" s="6" t="s">
        <v>2</v>
      </c>
      <c r="B12">
        <v>71</v>
      </c>
      <c r="C12" s="3">
        <v>12.9</v>
      </c>
      <c r="D12">
        <v>71</v>
      </c>
      <c r="E12" s="6">
        <v>12.9</v>
      </c>
      <c r="F12" s="17">
        <v>71</v>
      </c>
      <c r="G12" s="6">
        <v>12.9</v>
      </c>
      <c r="H12" s="17">
        <v>71</v>
      </c>
      <c r="I12" s="6">
        <v>12.9</v>
      </c>
      <c r="J12" s="17">
        <v>71</v>
      </c>
      <c r="K12" s="6">
        <v>12.9</v>
      </c>
      <c r="L12" s="17">
        <v>71</v>
      </c>
      <c r="M12" s="6">
        <v>12.9</v>
      </c>
      <c r="N12" s="17">
        <v>71</v>
      </c>
      <c r="O12" s="6">
        <v>12.9</v>
      </c>
      <c r="P12" s="17">
        <v>71</v>
      </c>
      <c r="Q12" s="6">
        <v>12.9</v>
      </c>
      <c r="R12" s="17">
        <v>71</v>
      </c>
      <c r="S12" s="6">
        <v>12.53</v>
      </c>
      <c r="T12" s="17">
        <v>71</v>
      </c>
      <c r="U12" s="6">
        <v>14.35</v>
      </c>
      <c r="V12" s="17">
        <v>71</v>
      </c>
      <c r="W12" s="6">
        <v>14.35</v>
      </c>
      <c r="X12" s="17">
        <v>71</v>
      </c>
      <c r="Y12" s="6">
        <v>14.35</v>
      </c>
      <c r="Z12">
        <f t="shared" si="0"/>
        <v>852</v>
      </c>
      <c r="AA12" s="18">
        <f t="shared" si="0"/>
        <v>158.78</v>
      </c>
    </row>
    <row r="13" spans="1:27" ht="12.75">
      <c r="A13" s="6" t="s">
        <v>2</v>
      </c>
      <c r="B13">
        <v>160</v>
      </c>
      <c r="C13" s="3">
        <v>24.46</v>
      </c>
      <c r="D13">
        <v>160</v>
      </c>
      <c r="E13" s="6">
        <v>24.46</v>
      </c>
      <c r="F13" s="17">
        <v>160</v>
      </c>
      <c r="G13" s="6">
        <v>24.46</v>
      </c>
      <c r="H13" s="17">
        <v>160</v>
      </c>
      <c r="I13" s="6">
        <v>24.46</v>
      </c>
      <c r="J13" s="17">
        <v>160</v>
      </c>
      <c r="K13" s="26">
        <v>24.46</v>
      </c>
      <c r="L13" s="27">
        <v>160</v>
      </c>
      <c r="M13" s="6">
        <v>24.46</v>
      </c>
      <c r="N13" s="17">
        <v>160</v>
      </c>
      <c r="O13" s="6">
        <v>24.46</v>
      </c>
      <c r="P13" s="17">
        <v>160</v>
      </c>
      <c r="Q13" s="6">
        <v>24.46</v>
      </c>
      <c r="R13" s="17">
        <v>160</v>
      </c>
      <c r="S13" s="6">
        <v>24.09</v>
      </c>
      <c r="T13" s="17">
        <v>160</v>
      </c>
      <c r="U13" s="6">
        <v>28.13</v>
      </c>
      <c r="V13" s="17">
        <v>160</v>
      </c>
      <c r="W13" s="6">
        <v>28.13</v>
      </c>
      <c r="X13" s="17">
        <v>160</v>
      </c>
      <c r="Y13" s="6">
        <v>28.13</v>
      </c>
      <c r="Z13">
        <f t="shared" si="0"/>
        <v>1920</v>
      </c>
      <c r="AA13" s="18">
        <f t="shared" si="0"/>
        <v>304.16</v>
      </c>
    </row>
    <row r="14" spans="1:27" ht="12.75">
      <c r="A14" s="6" t="s">
        <v>2</v>
      </c>
      <c r="B14">
        <v>374</v>
      </c>
      <c r="C14" s="3">
        <v>48.05</v>
      </c>
      <c r="D14">
        <v>374</v>
      </c>
      <c r="E14" s="6">
        <v>48.05</v>
      </c>
      <c r="F14" s="17">
        <v>374</v>
      </c>
      <c r="G14" s="6">
        <v>48.05</v>
      </c>
      <c r="H14" s="17">
        <v>374</v>
      </c>
      <c r="I14" s="6">
        <v>48.05</v>
      </c>
      <c r="J14" s="17">
        <v>374</v>
      </c>
      <c r="K14" s="6">
        <v>48.05</v>
      </c>
      <c r="L14" s="28">
        <v>374</v>
      </c>
      <c r="M14" s="6">
        <v>48.05</v>
      </c>
      <c r="N14" s="17">
        <v>374</v>
      </c>
      <c r="O14" s="6">
        <v>48.05</v>
      </c>
      <c r="P14" s="17">
        <v>374</v>
      </c>
      <c r="Q14" s="6">
        <v>48.05</v>
      </c>
      <c r="R14" s="17">
        <v>374</v>
      </c>
      <c r="S14" s="6">
        <v>47.68</v>
      </c>
      <c r="T14" s="17">
        <v>374</v>
      </c>
      <c r="U14" s="6">
        <v>57.44</v>
      </c>
      <c r="V14" s="17">
        <v>374</v>
      </c>
      <c r="W14" s="6">
        <v>57.44</v>
      </c>
      <c r="X14" s="17">
        <v>374</v>
      </c>
      <c r="Y14" s="6">
        <v>57.44</v>
      </c>
      <c r="Z14">
        <f t="shared" si="0"/>
        <v>4488</v>
      </c>
      <c r="AA14" s="18">
        <f t="shared" si="0"/>
        <v>604.4000000000001</v>
      </c>
    </row>
    <row r="15" spans="1:27" ht="12.75">
      <c r="A15" s="6" t="s">
        <v>3</v>
      </c>
      <c r="B15">
        <v>13480</v>
      </c>
      <c r="C15" s="3">
        <v>1159.75</v>
      </c>
      <c r="D15">
        <v>10480</v>
      </c>
      <c r="E15" s="6">
        <v>977.74</v>
      </c>
      <c r="F15" s="17">
        <v>7320</v>
      </c>
      <c r="G15" s="6">
        <v>783.82</v>
      </c>
      <c r="H15" s="17">
        <v>6360</v>
      </c>
      <c r="I15" s="6">
        <v>719.7</v>
      </c>
      <c r="J15" s="17">
        <v>4720</v>
      </c>
      <c r="K15" s="6">
        <v>612.99</v>
      </c>
      <c r="L15" s="28">
        <v>5880</v>
      </c>
      <c r="M15" s="6">
        <v>686.42</v>
      </c>
      <c r="N15" s="17">
        <v>6880</v>
      </c>
      <c r="O15" s="6">
        <v>752.42</v>
      </c>
      <c r="P15" s="17">
        <v>5760</v>
      </c>
      <c r="Q15" s="6">
        <v>681.41</v>
      </c>
      <c r="R15" s="17">
        <v>7960</v>
      </c>
      <c r="S15" s="6">
        <v>826.85</v>
      </c>
      <c r="T15" s="17">
        <v>11160</v>
      </c>
      <c r="U15" s="6">
        <v>1298.89</v>
      </c>
      <c r="V15" s="17">
        <v>9320</v>
      </c>
      <c r="W15" s="6">
        <v>1126.29</v>
      </c>
      <c r="X15" s="17">
        <v>12600</v>
      </c>
      <c r="Y15" s="6">
        <v>1448.74</v>
      </c>
      <c r="Z15">
        <f t="shared" si="0"/>
        <v>101920</v>
      </c>
      <c r="AA15" s="18">
        <f t="shared" si="0"/>
        <v>11075.019999999999</v>
      </c>
    </row>
    <row r="16" spans="1:27" ht="12.75">
      <c r="A16" s="6" t="s">
        <v>34</v>
      </c>
      <c r="B16">
        <v>122160</v>
      </c>
      <c r="C16" s="3">
        <v>10234.97</v>
      </c>
      <c r="D16">
        <v>98400</v>
      </c>
      <c r="E16" s="6">
        <v>9044.25</v>
      </c>
      <c r="F16" s="17">
        <v>73200</v>
      </c>
      <c r="G16" s="6">
        <v>6852.13</v>
      </c>
      <c r="H16" s="17">
        <v>64800</v>
      </c>
      <c r="I16" s="6">
        <v>6311.71</v>
      </c>
      <c r="J16" s="17">
        <v>54960</v>
      </c>
      <c r="K16" s="6">
        <v>5739.71</v>
      </c>
      <c r="L16" s="28">
        <v>63840</v>
      </c>
      <c r="M16" s="6">
        <v>6251.33</v>
      </c>
      <c r="N16" s="17">
        <v>69360</v>
      </c>
      <c r="O16" s="6">
        <v>6571.07</v>
      </c>
      <c r="P16" s="17">
        <v>61920</v>
      </c>
      <c r="Q16" s="6">
        <v>6155.36</v>
      </c>
      <c r="R16" s="17">
        <v>91680</v>
      </c>
      <c r="S16" s="6">
        <v>8030</v>
      </c>
      <c r="T16" s="17">
        <v>113040</v>
      </c>
      <c r="U16" s="6">
        <v>12527.57</v>
      </c>
      <c r="V16" s="17">
        <v>62880</v>
      </c>
      <c r="W16" s="6">
        <v>8006.75</v>
      </c>
      <c r="X16" s="17">
        <v>86160</v>
      </c>
      <c r="Y16" s="6">
        <v>10127.62</v>
      </c>
      <c r="Z16">
        <f t="shared" si="0"/>
        <v>962400</v>
      </c>
      <c r="AA16" s="18">
        <f t="shared" si="0"/>
        <v>95852.47</v>
      </c>
    </row>
    <row r="17" spans="1:27" ht="12.75">
      <c r="A17" s="6" t="s">
        <v>4</v>
      </c>
      <c r="B17">
        <v>214</v>
      </c>
      <c r="C17" s="3">
        <v>37.78</v>
      </c>
      <c r="D17">
        <v>16</v>
      </c>
      <c r="E17" s="6">
        <v>26.09</v>
      </c>
      <c r="F17" s="17">
        <v>14</v>
      </c>
      <c r="G17" s="6">
        <v>25.98</v>
      </c>
      <c r="H17" s="17">
        <v>34</v>
      </c>
      <c r="I17" s="6">
        <v>27.15</v>
      </c>
      <c r="J17" s="17">
        <v>16</v>
      </c>
      <c r="K17" s="6">
        <v>26.09</v>
      </c>
      <c r="L17" s="28">
        <v>25</v>
      </c>
      <c r="M17" s="6">
        <v>26.63</v>
      </c>
      <c r="N17" s="17">
        <v>8</v>
      </c>
      <c r="O17" s="6">
        <v>25.62</v>
      </c>
      <c r="P17" s="17">
        <v>7</v>
      </c>
      <c r="Q17" s="6">
        <v>24.32</v>
      </c>
      <c r="R17" s="17">
        <v>12</v>
      </c>
      <c r="S17" s="6">
        <v>24.25</v>
      </c>
      <c r="T17" s="17">
        <v>18</v>
      </c>
      <c r="U17" s="6">
        <v>18.54</v>
      </c>
      <c r="V17" s="17">
        <v>18</v>
      </c>
      <c r="W17" s="6">
        <v>18.54</v>
      </c>
      <c r="X17" s="17">
        <v>26</v>
      </c>
      <c r="Y17" s="6">
        <v>19.27</v>
      </c>
      <c r="Z17">
        <f t="shared" si="0"/>
        <v>408</v>
      </c>
      <c r="AA17" s="18">
        <f t="shared" si="0"/>
        <v>300.26</v>
      </c>
    </row>
    <row r="18" spans="1:27" ht="12.75">
      <c r="A18" s="6" t="s">
        <v>5</v>
      </c>
      <c r="B18">
        <v>98200</v>
      </c>
      <c r="C18" s="3">
        <v>8522.01</v>
      </c>
      <c r="D18">
        <v>87400</v>
      </c>
      <c r="E18" s="6">
        <v>7870.08</v>
      </c>
      <c r="F18" s="17">
        <v>70800</v>
      </c>
      <c r="G18" s="6">
        <v>6333.2</v>
      </c>
      <c r="H18" s="17">
        <v>58200</v>
      </c>
      <c r="I18" s="6">
        <v>5574.72</v>
      </c>
      <c r="J18" s="17">
        <v>54400</v>
      </c>
      <c r="K18" s="6">
        <v>5313.21</v>
      </c>
      <c r="L18" s="28">
        <v>63600</v>
      </c>
      <c r="M18" s="6">
        <v>5866.07</v>
      </c>
      <c r="N18" s="17">
        <v>65200</v>
      </c>
      <c r="O18" s="6">
        <v>5957.29</v>
      </c>
      <c r="P18" s="17">
        <v>63000</v>
      </c>
      <c r="Q18" s="6">
        <v>5832.37</v>
      </c>
      <c r="R18" s="17">
        <v>71000</v>
      </c>
      <c r="S18" s="6">
        <v>6620.35</v>
      </c>
      <c r="T18" s="17">
        <v>64400</v>
      </c>
      <c r="U18" s="6">
        <v>7795.43</v>
      </c>
      <c r="V18" s="17">
        <v>32000</v>
      </c>
      <c r="W18" s="6">
        <v>4873.82</v>
      </c>
      <c r="X18" s="17">
        <v>65800</v>
      </c>
      <c r="Y18" s="6">
        <v>7923.96</v>
      </c>
      <c r="Z18">
        <f t="shared" si="0"/>
        <v>794000</v>
      </c>
      <c r="AA18" s="18">
        <f t="shared" si="0"/>
        <v>78482.51000000002</v>
      </c>
    </row>
    <row r="19" spans="1:27" ht="12.75">
      <c r="A19" s="6" t="s">
        <v>6</v>
      </c>
      <c r="B19">
        <v>42160</v>
      </c>
      <c r="C19" s="3">
        <v>3683.56</v>
      </c>
      <c r="D19">
        <v>34880</v>
      </c>
      <c r="E19" s="6">
        <v>3239.36</v>
      </c>
      <c r="F19" s="17">
        <v>20640</v>
      </c>
      <c r="G19" s="6">
        <v>2167.88</v>
      </c>
      <c r="H19" s="17">
        <v>14000</v>
      </c>
      <c r="I19" s="6">
        <v>1711.45</v>
      </c>
      <c r="J19" s="17">
        <v>12640</v>
      </c>
      <c r="K19" s="6">
        <v>1616.28</v>
      </c>
      <c r="L19" s="28">
        <v>15040</v>
      </c>
      <c r="M19" s="6">
        <v>1751.7</v>
      </c>
      <c r="N19" s="17">
        <v>15840</v>
      </c>
      <c r="O19" s="6">
        <v>1822.78</v>
      </c>
      <c r="P19" s="17">
        <v>16560</v>
      </c>
      <c r="Q19" s="6">
        <v>1926.7</v>
      </c>
      <c r="R19" s="17">
        <v>22080</v>
      </c>
      <c r="S19" s="6">
        <v>2245.95</v>
      </c>
      <c r="T19" s="17">
        <v>26800</v>
      </c>
      <c r="U19" s="6">
        <v>3362.67</v>
      </c>
      <c r="V19" s="17">
        <v>12240</v>
      </c>
      <c r="W19" s="6">
        <v>1960.38</v>
      </c>
      <c r="X19" s="17">
        <v>28560</v>
      </c>
      <c r="Y19" s="6">
        <v>3447.93</v>
      </c>
      <c r="Z19">
        <f t="shared" si="0"/>
        <v>261440</v>
      </c>
      <c r="AA19" s="18">
        <f t="shared" si="0"/>
        <v>28936.640000000003</v>
      </c>
    </row>
    <row r="20" spans="1:27" ht="12.75">
      <c r="A20" s="6" t="s">
        <v>7</v>
      </c>
      <c r="B20">
        <v>1474</v>
      </c>
      <c r="C20" s="3">
        <v>189.7</v>
      </c>
      <c r="D20">
        <v>1307</v>
      </c>
      <c r="E20" s="6">
        <v>179.85</v>
      </c>
      <c r="F20" s="17">
        <v>1120</v>
      </c>
      <c r="G20" s="6">
        <v>196.99</v>
      </c>
      <c r="H20" s="17">
        <v>2576</v>
      </c>
      <c r="I20" s="6">
        <v>282.92</v>
      </c>
      <c r="J20" s="17">
        <v>2065</v>
      </c>
      <c r="K20" s="6">
        <v>252.76</v>
      </c>
      <c r="L20" s="28">
        <v>2140</v>
      </c>
      <c r="M20" s="6">
        <v>257.19</v>
      </c>
      <c r="N20" s="17">
        <v>1818</v>
      </c>
      <c r="O20" s="6">
        <v>237.98</v>
      </c>
      <c r="P20" s="17">
        <v>1288</v>
      </c>
      <c r="Q20" s="6">
        <v>199.42</v>
      </c>
      <c r="R20" s="17">
        <v>1116</v>
      </c>
      <c r="S20" s="6">
        <v>163.3</v>
      </c>
      <c r="T20" s="17">
        <v>496</v>
      </c>
      <c r="U20" s="6">
        <v>133.69</v>
      </c>
      <c r="W20" s="6">
        <v>83.29</v>
      </c>
      <c r="X20" s="17">
        <v>919</v>
      </c>
      <c r="Y20" s="6">
        <v>171.85</v>
      </c>
      <c r="Z20">
        <f t="shared" si="0"/>
        <v>16319</v>
      </c>
      <c r="AA20" s="18">
        <f t="shared" si="0"/>
        <v>2348.94</v>
      </c>
    </row>
    <row r="21" spans="1:27" ht="12.75">
      <c r="A21" s="6" t="s">
        <v>8</v>
      </c>
      <c r="B21">
        <v>0</v>
      </c>
      <c r="C21" s="3">
        <v>3.44</v>
      </c>
      <c r="D21">
        <v>0</v>
      </c>
      <c r="E21" s="6">
        <v>3.44</v>
      </c>
      <c r="F21" s="17">
        <v>57</v>
      </c>
      <c r="G21" s="6">
        <v>8.94</v>
      </c>
      <c r="H21" s="17">
        <v>315</v>
      </c>
      <c r="I21" s="6">
        <v>33.79</v>
      </c>
      <c r="J21" s="17">
        <v>261</v>
      </c>
      <c r="K21" s="6">
        <v>28.58</v>
      </c>
      <c r="L21" s="28">
        <v>187</v>
      </c>
      <c r="M21" s="6">
        <v>21.45</v>
      </c>
      <c r="N21" s="17">
        <v>179</v>
      </c>
      <c r="O21" s="6">
        <v>20.71</v>
      </c>
      <c r="P21" s="17">
        <v>73</v>
      </c>
      <c r="Q21" s="6">
        <v>10.48</v>
      </c>
      <c r="R21" s="17">
        <v>0</v>
      </c>
      <c r="S21" s="6">
        <v>3.07</v>
      </c>
      <c r="T21" s="17">
        <v>269</v>
      </c>
      <c r="U21" s="6">
        <v>36.6</v>
      </c>
      <c r="V21" s="17">
        <v>291</v>
      </c>
      <c r="W21" s="6">
        <v>39.33</v>
      </c>
      <c r="X21" s="17">
        <v>194</v>
      </c>
      <c r="Y21" s="6">
        <v>27.27</v>
      </c>
      <c r="Z21">
        <f t="shared" si="0"/>
        <v>1826</v>
      </c>
      <c r="AA21" s="18">
        <f t="shared" si="0"/>
        <v>237.1</v>
      </c>
    </row>
    <row r="22" spans="1:27" ht="12.75">
      <c r="A22" s="6" t="s">
        <v>9</v>
      </c>
      <c r="B22">
        <v>2708</v>
      </c>
      <c r="C22" s="3">
        <v>260.3</v>
      </c>
      <c r="D22">
        <v>2476</v>
      </c>
      <c r="E22" s="6">
        <v>245.37</v>
      </c>
      <c r="F22" s="17">
        <v>2371</v>
      </c>
      <c r="G22" s="6">
        <v>234.33</v>
      </c>
      <c r="H22" s="17">
        <v>2720</v>
      </c>
      <c r="I22" s="6">
        <v>284.13</v>
      </c>
      <c r="J22" s="17">
        <v>2428</v>
      </c>
      <c r="K22" s="6">
        <v>266.9</v>
      </c>
      <c r="L22" s="28">
        <v>2355</v>
      </c>
      <c r="M22" s="6">
        <v>262.59</v>
      </c>
      <c r="N22" s="17">
        <v>2511</v>
      </c>
      <c r="O22" s="6">
        <v>271.59</v>
      </c>
      <c r="P22" s="17">
        <v>2474</v>
      </c>
      <c r="Q22" s="6">
        <v>254.85</v>
      </c>
      <c r="R22" s="17">
        <v>2149</v>
      </c>
      <c r="S22" s="6">
        <v>235.31</v>
      </c>
      <c r="T22" s="17">
        <v>1889</v>
      </c>
      <c r="U22" s="6">
        <v>260.59</v>
      </c>
      <c r="V22" s="17">
        <v>2036</v>
      </c>
      <c r="W22" s="6">
        <v>273.82</v>
      </c>
      <c r="X22" s="17">
        <v>3438</v>
      </c>
      <c r="Y22" s="6">
        <v>400.25</v>
      </c>
      <c r="Z22">
        <f t="shared" si="0"/>
        <v>29555</v>
      </c>
      <c r="AA22" s="18">
        <f t="shared" si="0"/>
        <v>3250.03</v>
      </c>
    </row>
    <row r="23" spans="1:27" ht="12.75">
      <c r="A23" s="6" t="s">
        <v>10</v>
      </c>
      <c r="B23">
        <v>15400</v>
      </c>
      <c r="C23" s="3">
        <v>1170.97</v>
      </c>
      <c r="D23">
        <v>13390</v>
      </c>
      <c r="E23" s="6">
        <v>1023.19</v>
      </c>
      <c r="F23" s="17">
        <v>10360</v>
      </c>
      <c r="G23" s="6">
        <v>858.96</v>
      </c>
      <c r="H23" s="17">
        <v>11890</v>
      </c>
      <c r="I23" s="6">
        <v>941.96</v>
      </c>
      <c r="J23" s="17">
        <v>10270</v>
      </c>
      <c r="K23" s="6">
        <v>831.78</v>
      </c>
      <c r="L23" s="28">
        <v>9210</v>
      </c>
      <c r="M23" s="6">
        <v>761.93</v>
      </c>
      <c r="N23" s="17">
        <v>11050</v>
      </c>
      <c r="O23" s="6">
        <v>877.42</v>
      </c>
      <c r="P23" s="17">
        <v>9530</v>
      </c>
      <c r="Q23" s="6">
        <v>780.43</v>
      </c>
      <c r="R23" s="17">
        <v>10730</v>
      </c>
      <c r="S23" s="6">
        <v>850.88</v>
      </c>
      <c r="T23" s="17">
        <v>13240</v>
      </c>
      <c r="U23" s="6">
        <v>1391.94</v>
      </c>
      <c r="V23" s="17">
        <v>11240</v>
      </c>
      <c r="W23" s="6">
        <v>1207.17</v>
      </c>
      <c r="X23" s="17">
        <v>15410</v>
      </c>
      <c r="Y23" s="6">
        <v>1602.11</v>
      </c>
      <c r="Z23">
        <f t="shared" si="0"/>
        <v>141720</v>
      </c>
      <c r="AA23" s="18">
        <f t="shared" si="0"/>
        <v>12298.740000000002</v>
      </c>
    </row>
    <row r="24" spans="1:27" ht="12.75">
      <c r="A24" s="6" t="s">
        <v>11</v>
      </c>
      <c r="B24">
        <v>2400</v>
      </c>
      <c r="C24" s="3">
        <v>1063.78</v>
      </c>
      <c r="D24">
        <v>2400</v>
      </c>
      <c r="E24" s="6">
        <v>1721.71</v>
      </c>
      <c r="F24" s="17">
        <v>1720</v>
      </c>
      <c r="G24" s="6">
        <v>1226.81</v>
      </c>
      <c r="H24" s="17">
        <v>920</v>
      </c>
      <c r="I24" s="6">
        <v>1031.81</v>
      </c>
      <c r="J24" s="17">
        <v>840</v>
      </c>
      <c r="K24" s="6">
        <v>1084.22</v>
      </c>
      <c r="L24" s="28">
        <v>0</v>
      </c>
      <c r="M24" s="6">
        <v>972.55</v>
      </c>
      <c r="N24" s="17">
        <v>7080</v>
      </c>
      <c r="O24" s="6">
        <v>1829.54</v>
      </c>
      <c r="P24" s="17">
        <v>5640</v>
      </c>
      <c r="Q24" s="6">
        <v>1664.5</v>
      </c>
      <c r="R24" s="17">
        <v>3360</v>
      </c>
      <c r="S24" s="6">
        <v>1544.14</v>
      </c>
      <c r="T24" s="17">
        <v>4080</v>
      </c>
      <c r="U24" s="6">
        <v>1600.66</v>
      </c>
      <c r="V24" s="17">
        <v>5200</v>
      </c>
      <c r="W24" s="6">
        <v>1694.98</v>
      </c>
      <c r="X24" s="17">
        <v>1800</v>
      </c>
      <c r="Y24" s="6">
        <v>1165.37</v>
      </c>
      <c r="Z24">
        <f t="shared" si="0"/>
        <v>35440</v>
      </c>
      <c r="AA24" s="18">
        <f t="shared" si="0"/>
        <v>16600.07</v>
      </c>
    </row>
    <row r="25" spans="1:27" ht="12.75">
      <c r="A25" s="6" t="s">
        <v>12</v>
      </c>
      <c r="B25">
        <v>102600</v>
      </c>
      <c r="C25" s="3">
        <v>9353.96</v>
      </c>
      <c r="D25">
        <v>84600</v>
      </c>
      <c r="E25" s="6">
        <v>8261.9</v>
      </c>
      <c r="F25" s="17">
        <v>59000</v>
      </c>
      <c r="G25" s="6">
        <v>6798.33</v>
      </c>
      <c r="H25" s="17">
        <v>77200</v>
      </c>
      <c r="I25" s="6">
        <v>9645.32</v>
      </c>
      <c r="J25" s="17">
        <v>71600</v>
      </c>
      <c r="K25" s="6">
        <v>8381.48</v>
      </c>
      <c r="L25" s="28">
        <v>71000</v>
      </c>
      <c r="M25" s="6">
        <v>8218.69</v>
      </c>
      <c r="N25" s="17">
        <v>45600</v>
      </c>
      <c r="O25" s="6">
        <v>8697.29</v>
      </c>
      <c r="P25" s="17">
        <v>57800</v>
      </c>
      <c r="Q25" s="6">
        <v>7617.72</v>
      </c>
      <c r="R25" s="17">
        <v>62600</v>
      </c>
      <c r="S25" s="6">
        <v>7747.6</v>
      </c>
      <c r="T25" s="17">
        <v>66000</v>
      </c>
      <c r="U25" s="6">
        <v>9804.75</v>
      </c>
      <c r="V25" s="17">
        <v>42600</v>
      </c>
      <c r="W25" s="6">
        <v>7151.86</v>
      </c>
      <c r="X25" s="17">
        <v>61200</v>
      </c>
      <c r="Y25" s="6">
        <v>8956.44</v>
      </c>
      <c r="Z25">
        <f t="shared" si="0"/>
        <v>801800</v>
      </c>
      <c r="AA25" s="18">
        <f t="shared" si="0"/>
        <v>100635.34000000001</v>
      </c>
    </row>
    <row r="26" spans="1:27" ht="12.75">
      <c r="A26" s="6" t="s">
        <v>13</v>
      </c>
      <c r="B26">
        <v>6723</v>
      </c>
      <c r="C26" s="3">
        <v>833.91</v>
      </c>
      <c r="D26">
        <v>5987</v>
      </c>
      <c r="E26" s="6">
        <v>812.36</v>
      </c>
      <c r="F26" s="17">
        <v>5042</v>
      </c>
      <c r="G26" s="6">
        <v>700.26</v>
      </c>
      <c r="H26" s="17">
        <v>1717</v>
      </c>
      <c r="I26" s="6">
        <v>501.55</v>
      </c>
      <c r="J26" s="17">
        <v>1346</v>
      </c>
      <c r="K26" s="6">
        <v>553.05</v>
      </c>
      <c r="L26" s="28">
        <v>1689</v>
      </c>
      <c r="M26" s="6">
        <v>503.62</v>
      </c>
      <c r="N26" s="17">
        <v>1229</v>
      </c>
      <c r="O26" s="6">
        <v>489.44</v>
      </c>
      <c r="P26" s="17">
        <v>2262</v>
      </c>
      <c r="Q26" s="6">
        <v>691.97</v>
      </c>
      <c r="R26" s="17">
        <v>1700</v>
      </c>
      <c r="S26" s="6">
        <v>550.9</v>
      </c>
      <c r="T26" s="17">
        <v>6592</v>
      </c>
      <c r="U26" s="6">
        <v>1013.68</v>
      </c>
      <c r="V26" s="17">
        <v>6181</v>
      </c>
      <c r="W26" s="6">
        <v>1049.95</v>
      </c>
      <c r="X26" s="17">
        <v>8102</v>
      </c>
      <c r="Y26" s="6">
        <v>1189.84</v>
      </c>
      <c r="Z26">
        <f t="shared" si="0"/>
        <v>48570</v>
      </c>
      <c r="AA26" s="18">
        <f t="shared" si="0"/>
        <v>8890.529999999999</v>
      </c>
    </row>
    <row r="27" spans="1:27" ht="12.75">
      <c r="A27" s="6" t="s">
        <v>14</v>
      </c>
      <c r="B27">
        <v>57600</v>
      </c>
      <c r="C27" s="3">
        <v>5338.52</v>
      </c>
      <c r="D27">
        <v>62000</v>
      </c>
      <c r="E27" s="6">
        <v>5306.5</v>
      </c>
      <c r="F27" s="17">
        <v>54800</v>
      </c>
      <c r="G27" s="6">
        <v>4969.11</v>
      </c>
      <c r="H27" s="17">
        <v>47200</v>
      </c>
      <c r="I27" s="6">
        <v>4578.93</v>
      </c>
      <c r="J27" s="17">
        <v>38400</v>
      </c>
      <c r="K27" s="6">
        <v>4059.6</v>
      </c>
      <c r="L27" s="28">
        <v>41600</v>
      </c>
      <c r="M27" s="6">
        <v>3999.32</v>
      </c>
      <c r="N27" s="17">
        <v>59200</v>
      </c>
      <c r="O27" s="6">
        <v>5065.15</v>
      </c>
      <c r="P27" s="17">
        <v>51600</v>
      </c>
      <c r="Q27" s="6">
        <v>4606.82</v>
      </c>
      <c r="R27" s="17">
        <v>54800</v>
      </c>
      <c r="S27" s="6">
        <v>4800.2</v>
      </c>
      <c r="T27" s="17">
        <v>71600</v>
      </c>
      <c r="U27" s="6">
        <v>7882.54</v>
      </c>
      <c r="V27" s="17">
        <v>28400</v>
      </c>
      <c r="W27" s="6">
        <v>4013.72</v>
      </c>
      <c r="X27" s="17">
        <v>70000</v>
      </c>
      <c r="Y27" s="6">
        <v>7871.63</v>
      </c>
      <c r="Z27">
        <f t="shared" si="0"/>
        <v>637200</v>
      </c>
      <c r="AA27" s="18">
        <f t="shared" si="0"/>
        <v>62492.03999999999</v>
      </c>
    </row>
    <row r="28" spans="1:27" ht="12.75">
      <c r="A28" s="6" t="s">
        <v>15</v>
      </c>
      <c r="B28">
        <v>579</v>
      </c>
      <c r="C28" s="3">
        <v>59.22</v>
      </c>
      <c r="D28">
        <v>1045</v>
      </c>
      <c r="E28" s="6">
        <v>104.12</v>
      </c>
      <c r="F28" s="17">
        <v>1738</v>
      </c>
      <c r="G28" s="6">
        <v>170.88</v>
      </c>
      <c r="H28" s="17">
        <v>3541</v>
      </c>
      <c r="I28" s="6">
        <v>344.57</v>
      </c>
      <c r="J28" s="17">
        <v>2497</v>
      </c>
      <c r="K28" s="6">
        <v>243.99</v>
      </c>
      <c r="L28" s="28">
        <v>1467</v>
      </c>
      <c r="M28" s="6">
        <v>144.77</v>
      </c>
      <c r="N28" s="17">
        <v>763</v>
      </c>
      <c r="O28" s="6">
        <v>77.04</v>
      </c>
      <c r="P28" s="17">
        <v>241</v>
      </c>
      <c r="Q28" s="6">
        <v>26.68</v>
      </c>
      <c r="R28" s="17">
        <v>304</v>
      </c>
      <c r="S28" s="6">
        <v>32.4</v>
      </c>
      <c r="T28" s="17">
        <v>227</v>
      </c>
      <c r="U28" s="6">
        <v>31.36</v>
      </c>
      <c r="V28" s="17">
        <v>310</v>
      </c>
      <c r="W28" s="6">
        <v>41.69</v>
      </c>
      <c r="X28" s="17">
        <v>281</v>
      </c>
      <c r="Y28" s="6">
        <v>38.08</v>
      </c>
      <c r="Z28">
        <f t="shared" si="0"/>
        <v>12993</v>
      </c>
      <c r="AA28" s="18">
        <f t="shared" si="0"/>
        <v>1314.8</v>
      </c>
    </row>
    <row r="29" spans="1:27" ht="12.75">
      <c r="A29" s="6" t="s">
        <v>15</v>
      </c>
      <c r="B29">
        <v>50</v>
      </c>
      <c r="C29" s="3">
        <v>11.43</v>
      </c>
      <c r="D29">
        <v>50</v>
      </c>
      <c r="E29" s="6">
        <v>11.43</v>
      </c>
      <c r="F29" s="17">
        <v>50</v>
      </c>
      <c r="G29" s="6">
        <v>11.43</v>
      </c>
      <c r="H29" s="17">
        <v>50</v>
      </c>
      <c r="I29" s="6">
        <v>11.43</v>
      </c>
      <c r="J29" s="17">
        <v>57</v>
      </c>
      <c r="K29" s="6">
        <v>12.98</v>
      </c>
      <c r="L29" s="28">
        <v>50</v>
      </c>
      <c r="M29" s="6">
        <v>11.43</v>
      </c>
      <c r="N29" s="17">
        <v>50</v>
      </c>
      <c r="O29" s="6">
        <v>11.43</v>
      </c>
      <c r="P29" s="17">
        <v>50</v>
      </c>
      <c r="Q29" s="6">
        <v>11.43</v>
      </c>
      <c r="R29" s="17">
        <v>50</v>
      </c>
      <c r="S29" s="6">
        <v>11.06</v>
      </c>
      <c r="T29" s="17">
        <v>50</v>
      </c>
      <c r="U29" s="6">
        <v>12.24</v>
      </c>
      <c r="V29" s="17">
        <v>50</v>
      </c>
      <c r="W29" s="6">
        <v>12.24</v>
      </c>
      <c r="X29" s="17">
        <v>50</v>
      </c>
      <c r="Y29" s="6">
        <v>12.24</v>
      </c>
      <c r="Z29">
        <f t="shared" si="0"/>
        <v>607</v>
      </c>
      <c r="AA29" s="18">
        <f t="shared" si="0"/>
        <v>140.77</v>
      </c>
    </row>
    <row r="30" spans="1:27" ht="12.75">
      <c r="A30" s="6" t="s">
        <v>16</v>
      </c>
      <c r="B30">
        <v>922</v>
      </c>
      <c r="C30" s="3">
        <v>92.87</v>
      </c>
      <c r="D30">
        <v>708</v>
      </c>
      <c r="E30" s="6">
        <v>71.31</v>
      </c>
      <c r="F30" s="17">
        <v>519</v>
      </c>
      <c r="G30" s="6">
        <v>52.28</v>
      </c>
      <c r="H30" s="17">
        <v>255</v>
      </c>
      <c r="I30" s="6">
        <v>25.69</v>
      </c>
      <c r="J30" s="17">
        <v>377</v>
      </c>
      <c r="K30" s="6">
        <v>37.98</v>
      </c>
      <c r="L30" s="28">
        <v>533</v>
      </c>
      <c r="M30" s="6">
        <v>53.69</v>
      </c>
      <c r="N30" s="17">
        <v>1830</v>
      </c>
      <c r="O30" s="6">
        <v>184.33</v>
      </c>
      <c r="P30" s="17">
        <v>1737</v>
      </c>
      <c r="Q30" s="6">
        <v>174.96</v>
      </c>
      <c r="R30" s="17">
        <v>844</v>
      </c>
      <c r="S30" s="6">
        <v>84.65</v>
      </c>
      <c r="T30" s="17">
        <v>678</v>
      </c>
      <c r="U30" s="6">
        <v>86.92</v>
      </c>
      <c r="V30" s="17">
        <v>609</v>
      </c>
      <c r="W30" s="6">
        <v>78.08</v>
      </c>
      <c r="X30" s="17">
        <v>706</v>
      </c>
      <c r="Y30" s="6">
        <v>90.5</v>
      </c>
      <c r="Z30">
        <f t="shared" si="0"/>
        <v>9718</v>
      </c>
      <c r="AA30" s="18">
        <f t="shared" si="0"/>
        <v>1033.26</v>
      </c>
    </row>
    <row r="31" spans="1:27" ht="12.75">
      <c r="A31" s="6" t="s">
        <v>17</v>
      </c>
      <c r="B31">
        <v>15880</v>
      </c>
      <c r="C31" s="3">
        <v>1235.77</v>
      </c>
      <c r="D31">
        <v>12800</v>
      </c>
      <c r="E31" s="6">
        <v>1075.87</v>
      </c>
      <c r="F31" s="17">
        <v>9440</v>
      </c>
      <c r="G31" s="6">
        <v>877.58</v>
      </c>
      <c r="H31" s="17">
        <v>5880</v>
      </c>
      <c r="I31" s="6">
        <v>667.5</v>
      </c>
      <c r="J31" s="17">
        <v>4160</v>
      </c>
      <c r="K31" s="6">
        <v>551.41</v>
      </c>
      <c r="L31" s="28">
        <v>120</v>
      </c>
      <c r="M31" s="6">
        <v>224.59</v>
      </c>
      <c r="N31" s="17">
        <v>10280</v>
      </c>
      <c r="O31" s="6">
        <v>919.31</v>
      </c>
      <c r="P31" s="17">
        <v>6600</v>
      </c>
      <c r="Q31" s="6">
        <v>702.15</v>
      </c>
      <c r="R31" s="17">
        <v>10400</v>
      </c>
      <c r="S31" s="6">
        <v>926.02</v>
      </c>
      <c r="T31" s="17">
        <v>12680</v>
      </c>
      <c r="U31" s="6">
        <v>1435.96</v>
      </c>
      <c r="V31" s="17">
        <v>10840</v>
      </c>
      <c r="W31" s="6">
        <v>1243.36</v>
      </c>
      <c r="X31" s="17">
        <v>15040</v>
      </c>
      <c r="Y31" s="6">
        <v>1648.75</v>
      </c>
      <c r="Z31">
        <f t="shared" si="0"/>
        <v>114120</v>
      </c>
      <c r="AA31" s="18">
        <f t="shared" si="0"/>
        <v>11508.27</v>
      </c>
    </row>
    <row r="32" spans="1:27" ht="12.75">
      <c r="A32" s="6" t="s">
        <v>18</v>
      </c>
      <c r="B32">
        <v>3286</v>
      </c>
      <c r="C32" s="3">
        <v>310.24</v>
      </c>
      <c r="D32">
        <v>2953</v>
      </c>
      <c r="E32" s="6">
        <v>290.59</v>
      </c>
      <c r="F32" s="17">
        <v>2200</v>
      </c>
      <c r="G32" s="6">
        <v>230.32</v>
      </c>
      <c r="H32" s="17">
        <v>2554</v>
      </c>
      <c r="I32" s="6">
        <v>251.21</v>
      </c>
      <c r="J32" s="17">
        <v>2228</v>
      </c>
      <c r="K32" s="6">
        <v>231.98</v>
      </c>
      <c r="L32" s="28">
        <v>2355</v>
      </c>
      <c r="M32" s="6">
        <v>299.05</v>
      </c>
      <c r="N32" s="17">
        <v>2824</v>
      </c>
      <c r="O32" s="6">
        <v>294.89</v>
      </c>
      <c r="P32" s="17">
        <v>2612</v>
      </c>
      <c r="Q32" s="6">
        <v>279.92</v>
      </c>
      <c r="R32" s="17">
        <v>2519</v>
      </c>
      <c r="S32" s="6">
        <v>272.83</v>
      </c>
      <c r="T32" s="17">
        <v>3177</v>
      </c>
      <c r="U32" s="6">
        <v>399.98</v>
      </c>
      <c r="V32" s="17">
        <v>2977</v>
      </c>
      <c r="W32" s="6">
        <v>383.08</v>
      </c>
      <c r="X32" s="17">
        <v>3677</v>
      </c>
      <c r="Y32" s="6">
        <v>447.33</v>
      </c>
      <c r="Z32">
        <f t="shared" si="0"/>
        <v>33362</v>
      </c>
      <c r="AA32" s="18">
        <f t="shared" si="0"/>
        <v>3691.4199999999996</v>
      </c>
    </row>
    <row r="33" spans="1:27" ht="12.75">
      <c r="A33" s="6" t="s">
        <v>19</v>
      </c>
      <c r="B33">
        <v>15240</v>
      </c>
      <c r="C33" s="3">
        <v>1275.66</v>
      </c>
      <c r="D33">
        <v>15480</v>
      </c>
      <c r="E33" s="6">
        <v>1294.78</v>
      </c>
      <c r="F33" s="17">
        <v>10080</v>
      </c>
      <c r="G33" s="6">
        <v>959.1</v>
      </c>
      <c r="H33" s="17">
        <v>10200</v>
      </c>
      <c r="I33" s="6">
        <v>907.85</v>
      </c>
      <c r="J33" s="17">
        <v>7680</v>
      </c>
      <c r="K33" s="6">
        <v>749.19</v>
      </c>
      <c r="L33" s="28">
        <v>8680</v>
      </c>
      <c r="M33" s="6">
        <v>814.42</v>
      </c>
      <c r="N33" s="17">
        <v>9440</v>
      </c>
      <c r="O33" s="6">
        <v>861.24</v>
      </c>
      <c r="P33" s="17">
        <v>9000</v>
      </c>
      <c r="Q33" s="6">
        <v>836.5</v>
      </c>
      <c r="R33" s="17">
        <v>10920</v>
      </c>
      <c r="S33" s="6">
        <v>963.99</v>
      </c>
      <c r="T33" s="17">
        <v>11800</v>
      </c>
      <c r="U33" s="6">
        <v>1423.29</v>
      </c>
      <c r="V33" s="17">
        <v>9080</v>
      </c>
      <c r="W33" s="6">
        <v>1100.02</v>
      </c>
      <c r="X33" s="17">
        <v>11160</v>
      </c>
      <c r="Y33" s="6">
        <v>1294.39</v>
      </c>
      <c r="Z33">
        <f t="shared" si="0"/>
        <v>128760</v>
      </c>
      <c r="AA33" s="18">
        <f t="shared" si="0"/>
        <v>12480.43</v>
      </c>
    </row>
    <row r="34" spans="1:27" ht="12.75">
      <c r="A34" s="6" t="s">
        <v>20</v>
      </c>
      <c r="D34">
        <v>680</v>
      </c>
      <c r="E34" s="6">
        <v>526.83</v>
      </c>
      <c r="F34" s="17">
        <v>560</v>
      </c>
      <c r="G34" s="6">
        <v>264.48</v>
      </c>
      <c r="H34" s="17">
        <v>560</v>
      </c>
      <c r="I34" s="6">
        <v>243.36</v>
      </c>
      <c r="J34" s="17">
        <v>600</v>
      </c>
      <c r="K34" s="6">
        <v>245.72</v>
      </c>
      <c r="L34" s="28">
        <v>520</v>
      </c>
      <c r="M34" s="6">
        <v>260.88</v>
      </c>
      <c r="N34" s="17">
        <v>720</v>
      </c>
      <c r="O34" s="6">
        <v>273.66</v>
      </c>
      <c r="P34" s="17">
        <v>1160</v>
      </c>
      <c r="Q34" s="6">
        <v>366.56</v>
      </c>
      <c r="R34" s="17">
        <v>840</v>
      </c>
      <c r="S34" s="6">
        <v>347.3</v>
      </c>
      <c r="T34" s="17">
        <v>920</v>
      </c>
      <c r="U34" s="6">
        <v>348.84</v>
      </c>
      <c r="V34" s="17">
        <v>800</v>
      </c>
      <c r="W34" s="6">
        <v>281.08</v>
      </c>
      <c r="X34" s="17">
        <v>480</v>
      </c>
      <c r="Y34" s="6">
        <v>230.62</v>
      </c>
      <c r="Z34">
        <f t="shared" si="0"/>
        <v>7840</v>
      </c>
      <c r="AA34" s="18">
        <f t="shared" si="0"/>
        <v>3389.3300000000004</v>
      </c>
    </row>
    <row r="35" spans="1:27" s="9" customFormat="1" ht="12.75">
      <c r="A35" s="8" t="s">
        <v>21</v>
      </c>
      <c r="B35" s="9">
        <v>1339</v>
      </c>
      <c r="C35" s="10">
        <v>186.58</v>
      </c>
      <c r="D35" s="9">
        <v>1059</v>
      </c>
      <c r="E35" s="8">
        <v>178.74</v>
      </c>
      <c r="F35" s="9">
        <v>815</v>
      </c>
      <c r="G35" s="8">
        <v>149.82</v>
      </c>
      <c r="H35" s="9">
        <v>2283</v>
      </c>
      <c r="I35" s="8">
        <v>236.46</v>
      </c>
      <c r="J35" s="9">
        <v>1697</v>
      </c>
      <c r="K35" s="8">
        <v>201.88</v>
      </c>
      <c r="L35" s="9">
        <v>1693</v>
      </c>
      <c r="M35" s="8">
        <v>201.64</v>
      </c>
      <c r="N35" s="9">
        <v>2065</v>
      </c>
      <c r="O35" s="8">
        <v>223.43</v>
      </c>
      <c r="P35" s="9">
        <v>850</v>
      </c>
      <c r="Q35" s="8">
        <v>151.74</v>
      </c>
      <c r="R35" s="9">
        <v>1053</v>
      </c>
      <c r="S35" s="8">
        <v>163.34</v>
      </c>
      <c r="T35" s="9">
        <v>583</v>
      </c>
      <c r="U35" s="10">
        <v>125</v>
      </c>
      <c r="V35" s="9">
        <v>176</v>
      </c>
      <c r="W35" s="8">
        <v>82.74</v>
      </c>
      <c r="X35" s="9">
        <v>862</v>
      </c>
      <c r="Y35" s="8">
        <v>153.57</v>
      </c>
      <c r="Z35">
        <f t="shared" si="0"/>
        <v>14475</v>
      </c>
      <c r="AA35" s="18">
        <f t="shared" si="0"/>
        <v>2054.94</v>
      </c>
    </row>
    <row r="36" spans="26:27" ht="12.75">
      <c r="Z36" s="34"/>
      <c r="AA36" s="35"/>
    </row>
    <row r="37" spans="1:27" s="9" customFormat="1" ht="12.75">
      <c r="A37" s="8"/>
      <c r="B37" s="9">
        <f>SUM(B7:B35)</f>
        <v>700638</v>
      </c>
      <c r="C37" s="10">
        <f>SUM(C6:C35)</f>
        <v>62331.07000000001</v>
      </c>
      <c r="D37" s="9">
        <f>SUM(D7:D35)</f>
        <v>614312</v>
      </c>
      <c r="E37" s="8">
        <f>SUM(E6:E35)</f>
        <v>58125.880000000005</v>
      </c>
      <c r="F37" s="9">
        <f>SUM(F7:F35)</f>
        <v>456130</v>
      </c>
      <c r="G37" s="8">
        <f>SUM(G6:G35)</f>
        <v>46008.96000000001</v>
      </c>
      <c r="H37" s="9">
        <f>SUM(H7:H35)</f>
        <v>427059</v>
      </c>
      <c r="I37" s="8">
        <f>SUM(I6:I35)</f>
        <v>45669.21000000001</v>
      </c>
      <c r="J37" s="9">
        <f>SUM(J7:J35)</f>
        <v>361303</v>
      </c>
      <c r="K37" s="8">
        <f>SUM(K6:K35)</f>
        <v>40493.29000000001</v>
      </c>
      <c r="L37" s="9">
        <f>SUM(L7:L35)</f>
        <v>396988</v>
      </c>
      <c r="M37" s="8">
        <f>SUM(M6:M36)</f>
        <v>42070.52</v>
      </c>
      <c r="N37" s="9">
        <f>SUM(N7:N35)</f>
        <v>431411</v>
      </c>
      <c r="O37" s="8">
        <f>SUM(O6:O35)</f>
        <v>46891.700000000004</v>
      </c>
      <c r="P37" s="9">
        <f>SUM(P7:P35)</f>
        <v>405330</v>
      </c>
      <c r="Q37" s="8">
        <f>SUM(Q6:Q35)</f>
        <v>43711.75999999999</v>
      </c>
      <c r="R37" s="9">
        <f>SUM(R7:R35)</f>
        <v>488882</v>
      </c>
      <c r="S37" s="10">
        <f>SUM(S6:S35)</f>
        <v>49379.53</v>
      </c>
      <c r="T37" s="9">
        <f>SUM(T6:T35)</f>
        <v>566399</v>
      </c>
      <c r="U37" s="10">
        <v>69594.9</v>
      </c>
      <c r="V37" s="32">
        <f>SUM(V6:V36)</f>
        <v>344891</v>
      </c>
      <c r="W37" s="8">
        <f>SUM(W6:W36)</f>
        <v>48306.79000000001</v>
      </c>
      <c r="X37" s="9">
        <f>SUM(X6:X36)</f>
        <v>542685</v>
      </c>
      <c r="Y37" s="8">
        <f>SUM(Y6:Y36)</f>
        <v>66627.25</v>
      </c>
      <c r="Z37" s="33">
        <f>B37+D37+F37+H37+J37+L37+N37+P37+R37+T37+V37+X37</f>
        <v>5736028</v>
      </c>
      <c r="AA37" s="29">
        <f>C37+E37+G37+I37+K37+M37+O37+Q37+S37+U37+W37+Y37</f>
        <v>619210.8600000001</v>
      </c>
    </row>
  </sheetData>
  <sheetProtection/>
  <printOptions gridLines="1"/>
  <pageMargins left="0" right="0" top="1" bottom="1" header="0.5" footer="0.5"/>
  <pageSetup horizontalDpi="600" verticalDpi="600" orientation="landscape" r:id="rId1"/>
  <headerFooter alignWithMargins="0">
    <oddHeader>&amp;CGlen Rose ISD
Electricity Usage
FY 2005-2006</oddHeader>
  </headerFooter>
</worksheet>
</file>

<file path=xl/worksheets/sheet3.xml><?xml version="1.0" encoding="utf-8"?>
<worksheet xmlns="http://schemas.openxmlformats.org/spreadsheetml/2006/main" xmlns:r="http://schemas.openxmlformats.org/officeDocument/2006/relationships">
  <dimension ref="A1:AB37"/>
  <sheetViews>
    <sheetView zoomScalePageLayoutView="0" workbookViewId="0" topLeftCell="N31">
      <selection activeCell="AB38" sqref="AB38"/>
    </sheetView>
  </sheetViews>
  <sheetFormatPr defaultColWidth="9.140625" defaultRowHeight="12.75"/>
  <cols>
    <col min="1" max="1" width="20.00390625" style="6" customWidth="1"/>
    <col min="2" max="2" width="8.421875" style="0" customWidth="1"/>
    <col min="3" max="3" width="8.28125" style="3" customWidth="1"/>
    <col min="4" max="4" width="8.57421875" style="0" customWidth="1"/>
    <col min="5" max="5" width="8.8515625" style="6" customWidth="1"/>
    <col min="6" max="6" width="8.7109375" style="0" customWidth="1"/>
    <col min="7" max="7" width="9.421875" style="6" customWidth="1"/>
    <col min="8" max="8" width="7.7109375" style="0" customWidth="1"/>
    <col min="9" max="9" width="9.140625" style="6" customWidth="1"/>
    <col min="10" max="10" width="7.57421875" style="0" customWidth="1"/>
    <col min="11" max="11" width="9.140625" style="6" customWidth="1"/>
    <col min="12" max="12" width="0" style="38" hidden="1" customWidth="1"/>
    <col min="13" max="13" width="8.57421875" style="0" customWidth="1"/>
    <col min="14" max="14" width="9.140625" style="6" customWidth="1"/>
    <col min="15" max="15" width="7.8515625" style="0" customWidth="1"/>
    <col min="16" max="16" width="9.140625" style="6" customWidth="1"/>
    <col min="17" max="17" width="6.8515625" style="0" customWidth="1"/>
    <col min="18" max="18" width="9.140625" style="6" customWidth="1"/>
    <col min="19" max="19" width="7.28125" style="0" customWidth="1"/>
    <col min="20" max="20" width="9.140625" style="6" customWidth="1"/>
    <col min="21" max="21" width="6.8515625" style="0" customWidth="1"/>
    <col min="22" max="22" width="11.00390625" style="6" customWidth="1"/>
    <col min="23" max="23" width="9.7109375" style="0" customWidth="1"/>
    <col min="24" max="24" width="9.140625" style="6" customWidth="1"/>
    <col min="25" max="25" width="9.00390625" style="0" customWidth="1"/>
    <col min="26" max="26" width="9.140625" style="6" customWidth="1"/>
    <col min="28" max="28" width="12.00390625" style="0" customWidth="1"/>
  </cols>
  <sheetData>
    <row r="1" spans="8:23" ht="19.5" customHeight="1">
      <c r="H1" s="12"/>
      <c r="I1"/>
      <c r="W1" s="18">
        <f>SUM(W35)</f>
        <v>513</v>
      </c>
    </row>
    <row r="2" spans="1:26" s="1" customFormat="1" ht="12.75">
      <c r="A2" s="4"/>
      <c r="C2" s="2"/>
      <c r="E2" s="4"/>
      <c r="G2" s="4"/>
      <c r="I2" s="4"/>
      <c r="K2" s="4"/>
      <c r="L2" s="39"/>
      <c r="N2" s="4"/>
      <c r="P2" s="4"/>
      <c r="R2" s="4"/>
      <c r="T2" s="4"/>
      <c r="V2" s="4"/>
      <c r="X2" s="4"/>
      <c r="Z2" s="4"/>
    </row>
    <row r="3" spans="1:27" s="12" customFormat="1" ht="12.75">
      <c r="A3" s="11"/>
      <c r="B3" s="12" t="s">
        <v>51</v>
      </c>
      <c r="C3" s="13"/>
      <c r="D3" s="12" t="s">
        <v>52</v>
      </c>
      <c r="E3" s="11"/>
      <c r="F3" s="12" t="s">
        <v>53</v>
      </c>
      <c r="G3" s="11"/>
      <c r="H3" s="42" t="s">
        <v>56</v>
      </c>
      <c r="I3" s="43"/>
      <c r="J3" s="12" t="s">
        <v>55</v>
      </c>
      <c r="K3" s="11"/>
      <c r="M3" s="12" t="s">
        <v>57</v>
      </c>
      <c r="N3" s="11"/>
      <c r="O3" s="12" t="s">
        <v>58</v>
      </c>
      <c r="P3" s="11"/>
      <c r="Q3" s="12" t="s">
        <v>59</v>
      </c>
      <c r="R3" s="11"/>
      <c r="S3" s="12" t="s">
        <v>60</v>
      </c>
      <c r="T3" s="11"/>
      <c r="U3" s="12" t="s">
        <v>61</v>
      </c>
      <c r="V3" s="11"/>
      <c r="W3" s="12" t="s">
        <v>62</v>
      </c>
      <c r="X3" s="31"/>
      <c r="Y3" s="12" t="s">
        <v>63</v>
      </c>
      <c r="Z3" s="11"/>
      <c r="AA3" s="12" t="s">
        <v>37</v>
      </c>
    </row>
    <row r="4" spans="1:28" s="15" customFormat="1" ht="12.75">
      <c r="A4" s="14" t="s">
        <v>0</v>
      </c>
      <c r="B4" s="15" t="s">
        <v>35</v>
      </c>
      <c r="C4" s="16" t="s">
        <v>36</v>
      </c>
      <c r="D4" s="15" t="s">
        <v>35</v>
      </c>
      <c r="E4" s="16" t="s">
        <v>36</v>
      </c>
      <c r="F4" s="15" t="s">
        <v>35</v>
      </c>
      <c r="G4" s="16" t="s">
        <v>36</v>
      </c>
      <c r="H4" s="15" t="s">
        <v>35</v>
      </c>
      <c r="I4" s="16" t="s">
        <v>36</v>
      </c>
      <c r="J4" s="15" t="s">
        <v>35</v>
      </c>
      <c r="K4" s="16" t="s">
        <v>36</v>
      </c>
      <c r="M4" s="15" t="s">
        <v>35</v>
      </c>
      <c r="N4" s="16" t="s">
        <v>36</v>
      </c>
      <c r="O4" s="15" t="s">
        <v>35</v>
      </c>
      <c r="P4" s="16" t="s">
        <v>36</v>
      </c>
      <c r="Q4" s="15" t="s">
        <v>35</v>
      </c>
      <c r="R4" s="16" t="s">
        <v>36</v>
      </c>
      <c r="S4" s="15" t="s">
        <v>35</v>
      </c>
      <c r="T4" s="16" t="s">
        <v>36</v>
      </c>
      <c r="U4" s="15" t="s">
        <v>35</v>
      </c>
      <c r="V4" s="16" t="s">
        <v>36</v>
      </c>
      <c r="W4" s="30" t="s">
        <v>35</v>
      </c>
      <c r="X4" s="16" t="s">
        <v>36</v>
      </c>
      <c r="Y4" s="15" t="s">
        <v>35</v>
      </c>
      <c r="Z4" s="16" t="s">
        <v>36</v>
      </c>
      <c r="AA4" s="15" t="s">
        <v>35</v>
      </c>
      <c r="AB4" s="15" t="s">
        <v>36</v>
      </c>
    </row>
    <row r="5" spans="1:26" s="24" customFormat="1" ht="12.75">
      <c r="A5" s="5"/>
      <c r="C5" s="25"/>
      <c r="E5" s="25"/>
      <c r="G5" s="25"/>
      <c r="I5" s="25"/>
      <c r="K5" s="25"/>
      <c r="L5" s="40"/>
      <c r="N5" s="25"/>
      <c r="P5" s="25"/>
      <c r="R5" s="25"/>
      <c r="T5" s="25"/>
      <c r="V5" s="25"/>
      <c r="X5" s="25"/>
      <c r="Z5" s="25"/>
    </row>
    <row r="6" spans="1:28" ht="12.75">
      <c r="A6" s="26" t="s">
        <v>50</v>
      </c>
      <c r="B6">
        <v>640</v>
      </c>
      <c r="C6" s="3">
        <v>112.55</v>
      </c>
      <c r="D6">
        <v>640</v>
      </c>
      <c r="E6" s="6">
        <v>112.55</v>
      </c>
      <c r="F6" s="17">
        <v>640</v>
      </c>
      <c r="G6" s="6">
        <v>112.55</v>
      </c>
      <c r="H6" s="17">
        <v>640</v>
      </c>
      <c r="I6" s="17">
        <v>114.72</v>
      </c>
      <c r="J6" s="17">
        <v>640</v>
      </c>
      <c r="K6" s="6">
        <v>115.18</v>
      </c>
      <c r="M6" s="17">
        <v>640</v>
      </c>
      <c r="N6" s="6">
        <v>114.72</v>
      </c>
      <c r="O6" s="17">
        <v>640</v>
      </c>
      <c r="P6" s="6">
        <v>114.72</v>
      </c>
      <c r="Q6" s="17">
        <v>640</v>
      </c>
      <c r="R6" s="6">
        <v>114.72</v>
      </c>
      <c r="S6" s="17">
        <v>640</v>
      </c>
      <c r="T6" s="3">
        <v>114.72</v>
      </c>
      <c r="U6" s="17">
        <v>640</v>
      </c>
      <c r="V6" s="3">
        <v>115.19</v>
      </c>
      <c r="W6" s="17">
        <v>640</v>
      </c>
      <c r="X6" s="6">
        <v>116.08</v>
      </c>
      <c r="Y6" s="17">
        <v>640</v>
      </c>
      <c r="Z6" s="6">
        <v>116.08</v>
      </c>
      <c r="AA6">
        <f aca="true" t="shared" si="0" ref="AA6:AA28">B6+D6+F6+H6+J6+M6+O6+Q6+S6+U6+W6+Y6</f>
        <v>7680</v>
      </c>
      <c r="AB6" s="18">
        <f aca="true" t="shared" si="1" ref="AB6:AB28">C6+E6+G6+I6+K6+N6+P6+R6+T6+V6+X6+Z6</f>
        <v>1373.78</v>
      </c>
    </row>
    <row r="7" spans="1:28" ht="12.75">
      <c r="A7" s="6" t="s">
        <v>1</v>
      </c>
      <c r="B7">
        <v>247</v>
      </c>
      <c r="C7" s="3">
        <v>33.91</v>
      </c>
      <c r="D7">
        <v>3</v>
      </c>
      <c r="E7" s="6">
        <v>3.48</v>
      </c>
      <c r="F7" s="17">
        <v>0</v>
      </c>
      <c r="G7" s="6">
        <v>3.11</v>
      </c>
      <c r="H7" s="17">
        <v>0</v>
      </c>
      <c r="I7" s="6">
        <v>3.11</v>
      </c>
      <c r="J7" s="17">
        <v>0</v>
      </c>
      <c r="K7" s="6">
        <v>48.63</v>
      </c>
      <c r="L7" s="30"/>
      <c r="M7" s="17">
        <v>0</v>
      </c>
      <c r="N7" s="6">
        <v>3.11</v>
      </c>
      <c r="O7" s="17">
        <v>27</v>
      </c>
      <c r="P7" s="6">
        <v>6.59</v>
      </c>
      <c r="Q7" s="17">
        <v>2</v>
      </c>
      <c r="R7" s="6">
        <v>3.35</v>
      </c>
      <c r="S7" s="17">
        <v>11</v>
      </c>
      <c r="T7" s="6">
        <v>4.56</v>
      </c>
      <c r="U7" s="17">
        <v>23</v>
      </c>
      <c r="V7" s="6">
        <v>6.09</v>
      </c>
      <c r="W7" s="17">
        <v>0</v>
      </c>
      <c r="X7" s="6">
        <v>3.59</v>
      </c>
      <c r="Y7" s="17">
        <v>1</v>
      </c>
      <c r="Z7" s="6">
        <v>3.72</v>
      </c>
      <c r="AA7">
        <f t="shared" si="0"/>
        <v>314</v>
      </c>
      <c r="AB7" s="18">
        <f t="shared" si="1"/>
        <v>123.25</v>
      </c>
    </row>
    <row r="8" spans="1:28" ht="12.75">
      <c r="A8" s="6" t="s">
        <v>1</v>
      </c>
      <c r="B8">
        <v>748</v>
      </c>
      <c r="C8" s="3">
        <v>114.91</v>
      </c>
      <c r="D8">
        <v>748</v>
      </c>
      <c r="E8" s="6">
        <v>114.91</v>
      </c>
      <c r="F8" s="17">
        <v>748</v>
      </c>
      <c r="G8" s="6">
        <v>114.91</v>
      </c>
      <c r="H8" s="17">
        <v>748</v>
      </c>
      <c r="I8" s="6">
        <v>117.43</v>
      </c>
      <c r="J8" s="17">
        <v>748</v>
      </c>
      <c r="K8" s="6">
        <v>117.9</v>
      </c>
      <c r="M8" s="17">
        <v>748</v>
      </c>
      <c r="N8" s="6">
        <v>117.43</v>
      </c>
      <c r="O8" s="17">
        <v>748</v>
      </c>
      <c r="P8" s="6">
        <v>117.43</v>
      </c>
      <c r="Q8" s="17">
        <v>748</v>
      </c>
      <c r="R8" s="6">
        <v>117.43</v>
      </c>
      <c r="S8" s="17">
        <v>748</v>
      </c>
      <c r="T8" s="6">
        <v>117.43</v>
      </c>
      <c r="U8" s="17">
        <v>748</v>
      </c>
      <c r="V8" s="6">
        <v>117.97</v>
      </c>
      <c r="W8" s="17">
        <v>748</v>
      </c>
      <c r="X8" s="6">
        <v>118.41</v>
      </c>
      <c r="Y8" s="17">
        <v>748</v>
      </c>
      <c r="Z8" s="6">
        <v>118.41</v>
      </c>
      <c r="AA8">
        <f t="shared" si="0"/>
        <v>8976</v>
      </c>
      <c r="AB8" s="18">
        <f t="shared" si="1"/>
        <v>1404.5700000000004</v>
      </c>
    </row>
    <row r="9" spans="1:28" ht="12.75">
      <c r="A9" s="6" t="s">
        <v>1</v>
      </c>
      <c r="B9">
        <v>50</v>
      </c>
      <c r="C9" s="3">
        <v>12.24</v>
      </c>
      <c r="D9">
        <v>50</v>
      </c>
      <c r="E9" s="6">
        <v>12.24</v>
      </c>
      <c r="F9" s="17">
        <v>50</v>
      </c>
      <c r="G9" s="6">
        <v>12.24</v>
      </c>
      <c r="H9" s="17">
        <v>50</v>
      </c>
      <c r="I9" s="6">
        <v>12.42</v>
      </c>
      <c r="J9" s="17">
        <v>50</v>
      </c>
      <c r="K9" s="6">
        <v>12.47</v>
      </c>
      <c r="M9" s="17">
        <v>50</v>
      </c>
      <c r="N9" s="6">
        <v>12.42</v>
      </c>
      <c r="O9" s="17">
        <v>50</v>
      </c>
      <c r="P9" s="6">
        <v>12.42</v>
      </c>
      <c r="Q9" s="17">
        <v>50</v>
      </c>
      <c r="R9" s="6">
        <v>12.42</v>
      </c>
      <c r="S9" s="17">
        <v>50</v>
      </c>
      <c r="T9" s="6">
        <v>12.42</v>
      </c>
      <c r="U9" s="17">
        <v>50</v>
      </c>
      <c r="V9" s="6">
        <v>12.45</v>
      </c>
      <c r="W9" s="17">
        <v>50</v>
      </c>
      <c r="X9" s="6">
        <v>12.67</v>
      </c>
      <c r="Y9" s="17">
        <v>50</v>
      </c>
      <c r="Z9" s="6">
        <v>12.67</v>
      </c>
      <c r="AA9">
        <f t="shared" si="0"/>
        <v>600</v>
      </c>
      <c r="AB9" s="18">
        <f t="shared" si="1"/>
        <v>149.07999999999998</v>
      </c>
    </row>
    <row r="10" spans="1:28" ht="12.75">
      <c r="A10" s="6" t="s">
        <v>1</v>
      </c>
      <c r="B10">
        <v>11760</v>
      </c>
      <c r="C10" s="3">
        <v>2106.85</v>
      </c>
      <c r="D10">
        <v>9520</v>
      </c>
      <c r="E10" s="6">
        <v>1703.71</v>
      </c>
      <c r="F10" s="17">
        <v>7840</v>
      </c>
      <c r="G10" s="6">
        <v>1692.95</v>
      </c>
      <c r="H10" s="17">
        <v>8320</v>
      </c>
      <c r="I10" s="6">
        <v>1749.43</v>
      </c>
      <c r="J10" s="17">
        <v>7760</v>
      </c>
      <c r="K10" s="6">
        <v>1466.09</v>
      </c>
      <c r="M10" s="17">
        <v>15280</v>
      </c>
      <c r="N10" s="6">
        <v>2187.45</v>
      </c>
      <c r="O10" s="17">
        <v>10080</v>
      </c>
      <c r="P10" s="6">
        <v>1870.43</v>
      </c>
      <c r="Q10" s="17">
        <v>6880</v>
      </c>
      <c r="R10" s="6">
        <v>1521.58</v>
      </c>
      <c r="S10" s="17">
        <v>6480</v>
      </c>
      <c r="T10" s="6">
        <v>1477.13</v>
      </c>
      <c r="U10" s="17">
        <v>5520</v>
      </c>
      <c r="V10" s="6">
        <v>1241.55</v>
      </c>
      <c r="W10" s="17">
        <v>4080</v>
      </c>
      <c r="X10" s="6">
        <v>1101.65</v>
      </c>
      <c r="Y10" s="17">
        <v>6480</v>
      </c>
      <c r="Z10" s="6">
        <v>1334.42</v>
      </c>
      <c r="AA10">
        <f t="shared" si="0"/>
        <v>100000</v>
      </c>
      <c r="AB10" s="18">
        <f t="shared" si="1"/>
        <v>19453.239999999998</v>
      </c>
    </row>
    <row r="11" spans="1:28" ht="12.75">
      <c r="A11" s="6" t="s">
        <v>2</v>
      </c>
      <c r="B11" s="7">
        <v>192640</v>
      </c>
      <c r="C11" s="3">
        <v>21478.85</v>
      </c>
      <c r="D11">
        <v>148640</v>
      </c>
      <c r="E11" s="6">
        <v>16994.27</v>
      </c>
      <c r="F11" s="17">
        <v>113120</v>
      </c>
      <c r="G11" s="6">
        <v>13422.96</v>
      </c>
      <c r="H11" s="17">
        <v>100800</v>
      </c>
      <c r="I11" s="6">
        <v>12638.15</v>
      </c>
      <c r="J11" s="17">
        <v>84800</v>
      </c>
      <c r="K11" s="6">
        <v>11082.82</v>
      </c>
      <c r="M11" s="17">
        <v>103840</v>
      </c>
      <c r="N11" s="6">
        <v>12853.51</v>
      </c>
      <c r="O11" s="17">
        <v>99040</v>
      </c>
      <c r="P11" s="6">
        <v>12426.84</v>
      </c>
      <c r="Q11" s="17">
        <v>99520</v>
      </c>
      <c r="R11" s="6">
        <v>12626.96</v>
      </c>
      <c r="S11" s="17">
        <v>125120</v>
      </c>
      <c r="T11" s="6">
        <v>15065.55</v>
      </c>
      <c r="U11" s="17">
        <v>116800</v>
      </c>
      <c r="V11" s="6">
        <v>14364.16</v>
      </c>
      <c r="W11" s="17">
        <v>101760</v>
      </c>
      <c r="X11" s="6">
        <v>12831.06</v>
      </c>
      <c r="Y11" s="17">
        <v>109280</v>
      </c>
      <c r="Z11" s="6">
        <v>13588.51</v>
      </c>
      <c r="AA11">
        <f t="shared" si="0"/>
        <v>1395360</v>
      </c>
      <c r="AB11" s="18">
        <f t="shared" si="1"/>
        <v>169373.63999999998</v>
      </c>
    </row>
    <row r="12" spans="1:28" ht="12.75">
      <c r="A12" s="6" t="s">
        <v>2</v>
      </c>
      <c r="B12">
        <v>71</v>
      </c>
      <c r="C12" s="3">
        <v>14.35</v>
      </c>
      <c r="D12">
        <v>71</v>
      </c>
      <c r="E12" s="6">
        <v>14.35</v>
      </c>
      <c r="F12" s="17">
        <v>71</v>
      </c>
      <c r="G12" s="6">
        <v>14.35</v>
      </c>
      <c r="H12" s="17">
        <v>71</v>
      </c>
      <c r="I12" s="6">
        <v>14.59</v>
      </c>
      <c r="J12" s="17">
        <v>71</v>
      </c>
      <c r="K12" s="6">
        <v>14.65</v>
      </c>
      <c r="M12" s="17">
        <v>71</v>
      </c>
      <c r="N12" s="6">
        <v>14.59</v>
      </c>
      <c r="O12" s="17">
        <v>71</v>
      </c>
      <c r="P12" s="6">
        <v>14.59</v>
      </c>
      <c r="Q12" s="17">
        <v>71</v>
      </c>
      <c r="R12" s="6">
        <v>14.59</v>
      </c>
      <c r="S12" s="17">
        <v>71</v>
      </c>
      <c r="T12" s="6">
        <v>14.59</v>
      </c>
      <c r="U12" s="17">
        <v>71</v>
      </c>
      <c r="V12" s="6">
        <v>14.64</v>
      </c>
      <c r="W12" s="17">
        <v>71</v>
      </c>
      <c r="X12" s="6">
        <v>14.86</v>
      </c>
      <c r="Y12" s="17">
        <v>71</v>
      </c>
      <c r="Z12" s="6">
        <v>14.86</v>
      </c>
      <c r="AA12">
        <f t="shared" si="0"/>
        <v>852</v>
      </c>
      <c r="AB12" s="18">
        <f t="shared" si="1"/>
        <v>175.01000000000005</v>
      </c>
    </row>
    <row r="13" spans="1:28" ht="12.75">
      <c r="A13" s="6" t="s">
        <v>2</v>
      </c>
      <c r="B13">
        <v>160</v>
      </c>
      <c r="C13" s="3">
        <v>28.13</v>
      </c>
      <c r="D13">
        <v>160</v>
      </c>
      <c r="E13" s="6">
        <v>28.13</v>
      </c>
      <c r="F13" s="17">
        <v>160</v>
      </c>
      <c r="G13" s="6">
        <v>28.13</v>
      </c>
      <c r="H13" s="17">
        <v>160</v>
      </c>
      <c r="I13" s="6">
        <v>28.67</v>
      </c>
      <c r="J13" s="17">
        <v>160</v>
      </c>
      <c r="K13" s="26">
        <v>28.79</v>
      </c>
      <c r="L13" s="41"/>
      <c r="M13" s="27">
        <v>160</v>
      </c>
      <c r="N13" s="6">
        <v>28.67</v>
      </c>
      <c r="O13" s="17">
        <v>160</v>
      </c>
      <c r="P13" s="6">
        <v>28.67</v>
      </c>
      <c r="Q13" s="17">
        <v>160</v>
      </c>
      <c r="R13" s="6">
        <v>28.67</v>
      </c>
      <c r="S13" s="17">
        <v>160</v>
      </c>
      <c r="T13" s="6">
        <v>28.67</v>
      </c>
      <c r="U13" s="17">
        <v>160</v>
      </c>
      <c r="V13" s="6">
        <v>28.78</v>
      </c>
      <c r="W13" s="17">
        <v>160</v>
      </c>
      <c r="X13" s="6">
        <v>29</v>
      </c>
      <c r="Y13" s="17">
        <v>160</v>
      </c>
      <c r="Z13" s="6">
        <v>29</v>
      </c>
      <c r="AA13">
        <f t="shared" si="0"/>
        <v>1920</v>
      </c>
      <c r="AB13" s="18">
        <f t="shared" si="1"/>
        <v>343.31000000000006</v>
      </c>
    </row>
    <row r="14" spans="1:28" ht="12.75">
      <c r="A14" s="6" t="s">
        <v>2</v>
      </c>
      <c r="B14">
        <v>374</v>
      </c>
      <c r="C14" s="3">
        <v>57.44</v>
      </c>
      <c r="D14">
        <v>374</v>
      </c>
      <c r="E14" s="6">
        <v>57.44</v>
      </c>
      <c r="F14" s="17">
        <v>374</v>
      </c>
      <c r="G14" s="6">
        <v>57.44</v>
      </c>
      <c r="H14" s="17">
        <v>374</v>
      </c>
      <c r="I14" s="6">
        <v>58.7</v>
      </c>
      <c r="J14" s="17">
        <v>374</v>
      </c>
      <c r="K14" s="6">
        <v>58.93</v>
      </c>
      <c r="M14" s="28">
        <v>374</v>
      </c>
      <c r="N14" s="6">
        <v>58.7</v>
      </c>
      <c r="O14" s="17">
        <v>374</v>
      </c>
      <c r="P14" s="6">
        <v>58.7</v>
      </c>
      <c r="Q14" s="17">
        <v>374</v>
      </c>
      <c r="R14" s="6">
        <v>58.7</v>
      </c>
      <c r="S14" s="17">
        <v>374</v>
      </c>
      <c r="T14" s="6">
        <v>58.7</v>
      </c>
      <c r="U14" s="17">
        <v>374</v>
      </c>
      <c r="V14" s="6">
        <v>58.98</v>
      </c>
      <c r="W14" s="17">
        <v>374</v>
      </c>
      <c r="X14" s="6">
        <v>59.2</v>
      </c>
      <c r="Y14" s="17">
        <v>374</v>
      </c>
      <c r="Z14" s="6">
        <v>59.2</v>
      </c>
      <c r="AA14">
        <f t="shared" si="0"/>
        <v>4488</v>
      </c>
      <c r="AB14" s="18">
        <f t="shared" si="1"/>
        <v>702.1300000000001</v>
      </c>
    </row>
    <row r="15" spans="1:28" ht="12.75">
      <c r="A15" s="6" t="s">
        <v>3</v>
      </c>
      <c r="B15">
        <v>12240</v>
      </c>
      <c r="C15" s="3">
        <v>1505.6</v>
      </c>
      <c r="D15">
        <v>9560</v>
      </c>
      <c r="E15" s="6">
        <v>1182.06</v>
      </c>
      <c r="F15" s="17">
        <v>7000</v>
      </c>
      <c r="G15" s="6">
        <v>939.38</v>
      </c>
      <c r="H15" s="17">
        <v>6160</v>
      </c>
      <c r="I15" s="6">
        <v>888.33</v>
      </c>
      <c r="J15" s="17">
        <v>4800</v>
      </c>
      <c r="K15" s="6">
        <v>754.95</v>
      </c>
      <c r="M15" s="28">
        <v>6520</v>
      </c>
      <c r="N15" s="6">
        <v>917.51</v>
      </c>
      <c r="O15" s="17">
        <v>6080</v>
      </c>
      <c r="P15" s="6">
        <v>879.25</v>
      </c>
      <c r="Q15" s="17">
        <v>5840</v>
      </c>
      <c r="R15" s="6">
        <v>861.63</v>
      </c>
      <c r="S15" s="17">
        <v>7320</v>
      </c>
      <c r="T15" s="6">
        <v>996.03</v>
      </c>
      <c r="U15" s="17">
        <v>8240</v>
      </c>
      <c r="V15" s="6">
        <v>1093.66</v>
      </c>
      <c r="W15" s="17">
        <v>5360</v>
      </c>
      <c r="X15" s="6">
        <v>828.34</v>
      </c>
      <c r="Y15" s="17">
        <v>13320</v>
      </c>
      <c r="Z15" s="6">
        <v>1590.04</v>
      </c>
      <c r="AA15">
        <f t="shared" si="0"/>
        <v>92440</v>
      </c>
      <c r="AB15" s="18">
        <f t="shared" si="1"/>
        <v>12436.779999999999</v>
      </c>
    </row>
    <row r="16" spans="1:28" ht="12.75">
      <c r="A16" s="6" t="s">
        <v>34</v>
      </c>
      <c r="B16">
        <v>134640</v>
      </c>
      <c r="C16" s="3">
        <v>14506.56</v>
      </c>
      <c r="D16">
        <v>87120</v>
      </c>
      <c r="E16" s="6">
        <v>10721.73</v>
      </c>
      <c r="F16" s="17">
        <v>81840</v>
      </c>
      <c r="G16" s="6">
        <v>9650.1</v>
      </c>
      <c r="H16" s="17">
        <v>67200</v>
      </c>
      <c r="I16" s="6">
        <v>8565.13</v>
      </c>
      <c r="J16" s="17">
        <v>57120</v>
      </c>
      <c r="K16" s="6">
        <v>7612.77</v>
      </c>
      <c r="M16" s="28">
        <v>64080</v>
      </c>
      <c r="N16" s="6">
        <v>8220.43</v>
      </c>
      <c r="O16" s="17">
        <v>71520</v>
      </c>
      <c r="P16" s="6">
        <v>8965.09</v>
      </c>
      <c r="Q16" s="17">
        <v>71760</v>
      </c>
      <c r="R16" s="6">
        <v>8996.46</v>
      </c>
      <c r="S16" s="17">
        <v>77040</v>
      </c>
      <c r="T16" s="6">
        <v>9661.85</v>
      </c>
      <c r="U16" s="17">
        <v>64560</v>
      </c>
      <c r="V16" s="6">
        <v>8580.74</v>
      </c>
      <c r="W16" s="17">
        <v>38160</v>
      </c>
      <c r="X16" s="6">
        <v>5757.65</v>
      </c>
      <c r="Y16" s="17">
        <v>38400</v>
      </c>
      <c r="Z16" s="6">
        <v>5890.37</v>
      </c>
      <c r="AA16">
        <f t="shared" si="0"/>
        <v>853440</v>
      </c>
      <c r="AB16" s="18">
        <f t="shared" si="1"/>
        <v>107128.87999999999</v>
      </c>
    </row>
    <row r="17" spans="1:28" ht="12.75">
      <c r="A17" s="6" t="s">
        <v>4</v>
      </c>
      <c r="B17">
        <v>22</v>
      </c>
      <c r="C17" s="3">
        <v>18.89</v>
      </c>
      <c r="D17">
        <v>13</v>
      </c>
      <c r="E17" s="6">
        <v>18.09</v>
      </c>
      <c r="F17" s="17">
        <v>12</v>
      </c>
      <c r="G17" s="6">
        <v>18.01</v>
      </c>
      <c r="H17" s="17">
        <v>6</v>
      </c>
      <c r="I17" s="6">
        <v>17.47</v>
      </c>
      <c r="J17" s="17">
        <v>4</v>
      </c>
      <c r="K17" s="6">
        <v>19.02</v>
      </c>
      <c r="M17" s="28">
        <v>1</v>
      </c>
      <c r="N17" s="6">
        <v>17.01</v>
      </c>
      <c r="O17" s="17">
        <v>6</v>
      </c>
      <c r="P17" s="6">
        <v>13.04</v>
      </c>
      <c r="Q17" s="17">
        <v>9</v>
      </c>
      <c r="R17" s="6">
        <v>13.33</v>
      </c>
      <c r="S17" s="17">
        <v>11</v>
      </c>
      <c r="T17" s="6">
        <v>13.53</v>
      </c>
      <c r="U17" s="17">
        <v>14</v>
      </c>
      <c r="V17" s="6">
        <v>13.82</v>
      </c>
      <c r="W17" s="17">
        <v>18</v>
      </c>
      <c r="X17" s="6">
        <v>19.71</v>
      </c>
      <c r="Y17" s="17">
        <v>38</v>
      </c>
      <c r="Z17" s="6">
        <v>21.61</v>
      </c>
      <c r="AA17">
        <f t="shared" si="0"/>
        <v>154</v>
      </c>
      <c r="AB17" s="18">
        <f t="shared" si="1"/>
        <v>203.53000000000003</v>
      </c>
    </row>
    <row r="18" spans="1:28" ht="12.75">
      <c r="A18" s="6" t="s">
        <v>5</v>
      </c>
      <c r="B18">
        <v>97800</v>
      </c>
      <c r="C18" s="3">
        <v>11181.26</v>
      </c>
      <c r="D18">
        <v>67200</v>
      </c>
      <c r="E18" s="6">
        <v>8421.95</v>
      </c>
      <c r="F18" s="17">
        <v>53800</v>
      </c>
      <c r="G18" s="6">
        <v>6724.75</v>
      </c>
      <c r="H18" s="17">
        <v>45800</v>
      </c>
      <c r="I18" s="6">
        <v>6156.24</v>
      </c>
      <c r="J18" s="17">
        <v>42400</v>
      </c>
      <c r="K18" s="6">
        <v>6086</v>
      </c>
      <c r="M18" s="28">
        <v>54200</v>
      </c>
      <c r="N18" s="6">
        <v>6973.42</v>
      </c>
      <c r="O18" s="17">
        <v>44000</v>
      </c>
      <c r="P18" s="6">
        <v>6040.08</v>
      </c>
      <c r="Q18" s="17">
        <v>51600</v>
      </c>
      <c r="R18" s="6">
        <v>6740.87</v>
      </c>
      <c r="S18" s="17">
        <v>54800</v>
      </c>
      <c r="T18" s="6">
        <v>7062.25</v>
      </c>
      <c r="U18" s="17">
        <v>43200</v>
      </c>
      <c r="V18" s="6">
        <v>5973.57</v>
      </c>
      <c r="W18" s="17">
        <v>33200</v>
      </c>
      <c r="X18" s="6">
        <v>4880.08</v>
      </c>
      <c r="Y18" s="17">
        <v>42200</v>
      </c>
      <c r="Z18" s="6">
        <v>5799.21</v>
      </c>
      <c r="AA18">
        <f t="shared" si="0"/>
        <v>630200</v>
      </c>
      <c r="AB18" s="18">
        <f t="shared" si="1"/>
        <v>82039.68000000001</v>
      </c>
    </row>
    <row r="19" spans="1:28" ht="12.75">
      <c r="A19" s="6" t="s">
        <v>6</v>
      </c>
      <c r="B19">
        <v>41360</v>
      </c>
      <c r="C19" s="3">
        <v>4856.55</v>
      </c>
      <c r="D19">
        <v>30560</v>
      </c>
      <c r="E19" s="6">
        <v>3645.84</v>
      </c>
      <c r="F19" s="17">
        <v>18640</v>
      </c>
      <c r="G19" s="6">
        <v>2543.75</v>
      </c>
      <c r="H19" s="17">
        <v>13680</v>
      </c>
      <c r="I19" s="6">
        <v>2150.17</v>
      </c>
      <c r="J19" s="17">
        <v>13920</v>
      </c>
      <c r="K19" s="6">
        <v>2183.06</v>
      </c>
      <c r="M19" s="28">
        <v>13920</v>
      </c>
      <c r="N19" s="6">
        <v>2124.26</v>
      </c>
      <c r="O19" s="17">
        <v>11600</v>
      </c>
      <c r="P19" s="6">
        <v>1923.24</v>
      </c>
      <c r="Q19" s="17">
        <v>15360</v>
      </c>
      <c r="R19" s="6">
        <v>2303.63</v>
      </c>
      <c r="S19" s="17">
        <v>22640</v>
      </c>
      <c r="T19" s="6">
        <v>3023</v>
      </c>
      <c r="U19" s="17">
        <v>21120</v>
      </c>
      <c r="V19" s="6">
        <v>2873.91</v>
      </c>
      <c r="W19" s="17">
        <v>8640</v>
      </c>
      <c r="X19" s="6">
        <v>1686.23</v>
      </c>
      <c r="Y19" s="17">
        <v>11440</v>
      </c>
      <c r="Z19" s="6">
        <v>2590.71</v>
      </c>
      <c r="AA19">
        <f t="shared" si="0"/>
        <v>222880</v>
      </c>
      <c r="AB19" s="18">
        <f t="shared" si="1"/>
        <v>31904.35</v>
      </c>
    </row>
    <row r="20" spans="1:28" ht="12.75">
      <c r="A20" s="6" t="s">
        <v>7</v>
      </c>
      <c r="B20">
        <v>1304</v>
      </c>
      <c r="C20" s="3">
        <v>206.78</v>
      </c>
      <c r="D20">
        <v>594</v>
      </c>
      <c r="E20" s="6">
        <v>142.78</v>
      </c>
      <c r="F20" s="17">
        <v>396</v>
      </c>
      <c r="G20" s="6">
        <v>135.48</v>
      </c>
      <c r="H20" s="17">
        <v>1558</v>
      </c>
      <c r="I20" s="6">
        <v>243.03</v>
      </c>
      <c r="J20" s="17">
        <v>2729</v>
      </c>
      <c r="K20" s="6">
        <v>378.42</v>
      </c>
      <c r="M20" s="28">
        <v>3233</v>
      </c>
      <c r="N20" s="6">
        <v>424.4</v>
      </c>
      <c r="O20" s="17">
        <v>755</v>
      </c>
      <c r="P20" s="6">
        <v>192.08</v>
      </c>
      <c r="Q20" s="17">
        <v>1396</v>
      </c>
      <c r="R20" s="6">
        <v>252.45</v>
      </c>
      <c r="S20" s="17">
        <v>708</v>
      </c>
      <c r="T20" s="6">
        <v>161.2</v>
      </c>
      <c r="U20" s="17">
        <v>4</v>
      </c>
      <c r="V20" s="6">
        <v>88.66</v>
      </c>
      <c r="W20" s="17">
        <v>0</v>
      </c>
      <c r="X20" s="6">
        <v>93.8</v>
      </c>
      <c r="Y20" s="17">
        <v>6482</v>
      </c>
      <c r="Z20" s="6">
        <v>93.99</v>
      </c>
      <c r="AA20">
        <f t="shared" si="0"/>
        <v>19159</v>
      </c>
      <c r="AB20" s="18">
        <f t="shared" si="1"/>
        <v>2413.0699999999997</v>
      </c>
    </row>
    <row r="21" spans="1:28" ht="12.75">
      <c r="A21" s="6" t="s">
        <v>8</v>
      </c>
      <c r="B21">
        <v>5</v>
      </c>
      <c r="C21" s="3">
        <v>3.74</v>
      </c>
      <c r="D21">
        <v>323</v>
      </c>
      <c r="E21" s="6">
        <v>43.39</v>
      </c>
      <c r="F21" s="17">
        <v>334</v>
      </c>
      <c r="G21" s="6">
        <v>44.75</v>
      </c>
      <c r="H21" s="17">
        <v>22</v>
      </c>
      <c r="I21" s="6">
        <v>5.93</v>
      </c>
      <c r="J21" s="17">
        <v>0</v>
      </c>
      <c r="K21" s="6">
        <v>3.12</v>
      </c>
      <c r="M21" s="28">
        <v>0</v>
      </c>
      <c r="N21" s="6">
        <v>3.11</v>
      </c>
      <c r="O21" s="17">
        <v>0</v>
      </c>
      <c r="P21" s="6">
        <v>3.11</v>
      </c>
      <c r="Q21" s="17">
        <v>0</v>
      </c>
      <c r="R21" s="6">
        <v>3.11</v>
      </c>
      <c r="S21" s="17">
        <v>313</v>
      </c>
      <c r="T21" s="6">
        <v>43.55</v>
      </c>
      <c r="U21" s="17">
        <v>0</v>
      </c>
      <c r="V21" s="6">
        <v>3.11</v>
      </c>
      <c r="W21" s="17">
        <v>0</v>
      </c>
      <c r="X21" s="6">
        <v>3.59</v>
      </c>
      <c r="Y21" s="17">
        <v>0</v>
      </c>
      <c r="Z21" s="6">
        <v>3.59</v>
      </c>
      <c r="AA21">
        <f t="shared" si="0"/>
        <v>997</v>
      </c>
      <c r="AB21" s="18">
        <f t="shared" si="1"/>
        <v>164.10000000000002</v>
      </c>
    </row>
    <row r="22" spans="1:28" ht="12.75">
      <c r="A22" s="6" t="s">
        <v>9</v>
      </c>
      <c r="B22">
        <v>2925</v>
      </c>
      <c r="C22" s="3">
        <v>354.44</v>
      </c>
      <c r="D22">
        <v>2427</v>
      </c>
      <c r="E22" s="6">
        <v>309.54</v>
      </c>
      <c r="F22" s="17">
        <v>1805</v>
      </c>
      <c r="G22" s="6">
        <v>253.46</v>
      </c>
      <c r="H22" s="17">
        <v>3082</v>
      </c>
      <c r="I22" s="6">
        <v>380.96</v>
      </c>
      <c r="J22" s="17">
        <v>2882</v>
      </c>
      <c r="K22" s="6">
        <v>364.74</v>
      </c>
      <c r="M22" s="28">
        <v>3642</v>
      </c>
      <c r="N22" s="6">
        <v>436.06</v>
      </c>
      <c r="O22" s="17">
        <v>1697</v>
      </c>
      <c r="P22" s="6">
        <v>239.85</v>
      </c>
      <c r="Q22" s="17">
        <v>1724</v>
      </c>
      <c r="R22" s="6">
        <v>243.65</v>
      </c>
      <c r="S22" s="17">
        <v>2108</v>
      </c>
      <c r="T22" s="6">
        <v>305.95</v>
      </c>
      <c r="U22" s="17">
        <v>1655</v>
      </c>
      <c r="V22" s="6">
        <v>242.76</v>
      </c>
      <c r="W22" s="17">
        <v>1334</v>
      </c>
      <c r="X22" s="6">
        <v>219.05</v>
      </c>
      <c r="Y22" s="17">
        <v>2008</v>
      </c>
      <c r="Z22" s="6">
        <v>283.01</v>
      </c>
      <c r="AA22">
        <f t="shared" si="0"/>
        <v>27289</v>
      </c>
      <c r="AB22" s="18">
        <f t="shared" si="1"/>
        <v>3633.4700000000003</v>
      </c>
    </row>
    <row r="23" spans="1:28" ht="12.75">
      <c r="A23" s="6" t="s">
        <v>10</v>
      </c>
      <c r="B23">
        <v>13990</v>
      </c>
      <c r="C23" s="3">
        <v>1475.42</v>
      </c>
      <c r="D23">
        <v>10620</v>
      </c>
      <c r="E23" s="6">
        <v>1164.82</v>
      </c>
      <c r="F23" s="17">
        <v>9480</v>
      </c>
      <c r="G23" s="6">
        <v>1035.18</v>
      </c>
      <c r="H23" s="17">
        <v>9980</v>
      </c>
      <c r="I23" s="6">
        <v>1133.72</v>
      </c>
      <c r="J23" s="17">
        <v>9280</v>
      </c>
      <c r="K23" s="6">
        <v>1072.03</v>
      </c>
      <c r="M23" s="28">
        <v>10560</v>
      </c>
      <c r="N23" s="6">
        <v>1188.34</v>
      </c>
      <c r="O23" s="17">
        <v>9560</v>
      </c>
      <c r="P23" s="6">
        <v>1082.4</v>
      </c>
      <c r="Q23" s="17">
        <v>9260</v>
      </c>
      <c r="R23" s="6">
        <v>1047.35</v>
      </c>
      <c r="S23" s="17">
        <v>11550</v>
      </c>
      <c r="T23" s="6">
        <v>1259.26</v>
      </c>
      <c r="U23" s="17">
        <v>13640</v>
      </c>
      <c r="V23" s="6">
        <v>1510.45</v>
      </c>
      <c r="W23" s="17">
        <v>12830</v>
      </c>
      <c r="X23" s="6">
        <v>1439.09</v>
      </c>
      <c r="Y23" s="17">
        <v>14270</v>
      </c>
      <c r="Z23" s="6">
        <v>1575.76</v>
      </c>
      <c r="AA23">
        <f t="shared" si="0"/>
        <v>135020</v>
      </c>
      <c r="AB23" s="18">
        <f t="shared" si="1"/>
        <v>14983.820000000002</v>
      </c>
    </row>
    <row r="24" spans="1:28" ht="12.75">
      <c r="A24" s="6" t="s">
        <v>54</v>
      </c>
      <c r="B24">
        <v>1360</v>
      </c>
      <c r="C24" s="3">
        <v>1042.64</v>
      </c>
      <c r="D24">
        <v>1200</v>
      </c>
      <c r="E24" s="6">
        <v>1060.15</v>
      </c>
      <c r="F24" s="17">
        <v>480</v>
      </c>
      <c r="G24" s="6">
        <v>912.43</v>
      </c>
      <c r="H24" s="17">
        <v>2320</v>
      </c>
      <c r="I24" s="6">
        <v>1136.14</v>
      </c>
      <c r="J24" s="17">
        <v>1400</v>
      </c>
      <c r="K24" s="6">
        <v>1053.68</v>
      </c>
      <c r="M24" s="28">
        <v>2160</v>
      </c>
      <c r="N24" s="6">
        <v>1424.41</v>
      </c>
      <c r="O24" s="17">
        <v>5360</v>
      </c>
      <c r="P24" s="6">
        <v>2070.04</v>
      </c>
      <c r="Q24" s="17">
        <v>5400</v>
      </c>
      <c r="R24" s="6">
        <v>2107.72</v>
      </c>
      <c r="S24" s="17">
        <v>5560</v>
      </c>
      <c r="T24" s="6">
        <v>2136.34</v>
      </c>
      <c r="U24" s="17">
        <v>4440</v>
      </c>
      <c r="V24" s="6">
        <v>1993.39</v>
      </c>
      <c r="W24" s="17">
        <v>3120</v>
      </c>
      <c r="X24" s="6">
        <v>1514.55</v>
      </c>
      <c r="Y24" s="17">
        <v>2720</v>
      </c>
      <c r="Z24" s="6">
        <v>1385.39</v>
      </c>
      <c r="AA24">
        <f t="shared" si="0"/>
        <v>35520</v>
      </c>
      <c r="AB24" s="18">
        <f t="shared" si="1"/>
        <v>17836.879999999997</v>
      </c>
    </row>
    <row r="25" spans="1:28" ht="12.75">
      <c r="A25" s="6" t="s">
        <v>12</v>
      </c>
      <c r="B25">
        <v>105800</v>
      </c>
      <c r="C25" s="3">
        <v>13107.96</v>
      </c>
      <c r="D25">
        <v>73200</v>
      </c>
      <c r="E25" s="6">
        <v>10092.62</v>
      </c>
      <c r="F25" s="17">
        <v>57800</v>
      </c>
      <c r="G25" s="6">
        <v>8708.67</v>
      </c>
      <c r="H25" s="17">
        <v>71400</v>
      </c>
      <c r="I25" s="6">
        <v>10174.62</v>
      </c>
      <c r="J25" s="17">
        <v>68000</v>
      </c>
      <c r="K25" s="6">
        <v>9745.21</v>
      </c>
      <c r="M25" s="28">
        <v>107400</v>
      </c>
      <c r="N25" s="6">
        <v>13726.33</v>
      </c>
      <c r="O25" s="17">
        <v>77400</v>
      </c>
      <c r="P25" s="6">
        <v>11397.64</v>
      </c>
      <c r="Q25" s="17">
        <v>51600</v>
      </c>
      <c r="R25" s="6">
        <v>8039.69</v>
      </c>
      <c r="S25" s="17">
        <v>59200</v>
      </c>
      <c r="T25" s="6">
        <v>8605.57</v>
      </c>
      <c r="U25" s="17">
        <v>51200</v>
      </c>
      <c r="V25" s="6">
        <v>7886.72</v>
      </c>
      <c r="W25" s="17">
        <v>41400</v>
      </c>
      <c r="X25" s="6">
        <v>6869.7</v>
      </c>
      <c r="Y25" s="17">
        <v>51600</v>
      </c>
      <c r="Z25" s="6">
        <v>7910.2</v>
      </c>
      <c r="AA25">
        <f t="shared" si="0"/>
        <v>816000</v>
      </c>
      <c r="AB25" s="18">
        <f t="shared" si="1"/>
        <v>116264.93</v>
      </c>
    </row>
    <row r="26" spans="1:28" ht="12.75">
      <c r="A26" s="6" t="s">
        <v>13</v>
      </c>
      <c r="B26">
        <v>6080</v>
      </c>
      <c r="C26" s="3">
        <v>963.58</v>
      </c>
      <c r="D26">
        <v>4937</v>
      </c>
      <c r="E26" s="6">
        <v>954.51</v>
      </c>
      <c r="F26" s="17">
        <v>2350</v>
      </c>
      <c r="G26" s="6">
        <v>600.33</v>
      </c>
      <c r="H26" s="17">
        <v>1444</v>
      </c>
      <c r="I26" s="6">
        <v>537.43</v>
      </c>
      <c r="J26" s="17">
        <v>172</v>
      </c>
      <c r="K26" s="6">
        <v>494.89</v>
      </c>
      <c r="M26" s="28">
        <v>0</v>
      </c>
      <c r="N26" s="6">
        <v>354.13</v>
      </c>
      <c r="O26" s="17">
        <v>871</v>
      </c>
      <c r="P26" s="6">
        <v>486.95</v>
      </c>
      <c r="Q26" s="17">
        <v>1192</v>
      </c>
      <c r="R26" s="6">
        <v>518.43</v>
      </c>
      <c r="S26" s="17">
        <v>413</v>
      </c>
      <c r="T26" s="6">
        <v>440.04</v>
      </c>
      <c r="U26" s="17">
        <v>677</v>
      </c>
      <c r="V26" s="6">
        <v>454.15</v>
      </c>
      <c r="W26" s="17">
        <v>1298</v>
      </c>
      <c r="X26" s="6">
        <v>518.61</v>
      </c>
      <c r="Y26" s="17">
        <v>720</v>
      </c>
      <c r="Z26" s="6">
        <v>463.74</v>
      </c>
      <c r="AA26">
        <f t="shared" si="0"/>
        <v>20154</v>
      </c>
      <c r="AB26" s="18">
        <f t="shared" si="1"/>
        <v>6786.789999999999</v>
      </c>
    </row>
    <row r="27" spans="1:28" ht="12.75">
      <c r="A27" s="6" t="s">
        <v>14</v>
      </c>
      <c r="B27">
        <v>74400</v>
      </c>
      <c r="C27" s="3">
        <v>8547.53</v>
      </c>
      <c r="D27">
        <v>64800</v>
      </c>
      <c r="E27" s="6">
        <v>7248.51</v>
      </c>
      <c r="F27" s="17">
        <v>57200</v>
      </c>
      <c r="G27" s="6">
        <v>6605.77</v>
      </c>
      <c r="H27" s="17">
        <v>54800</v>
      </c>
      <c r="I27" s="6">
        <v>6609.09</v>
      </c>
      <c r="J27" s="17">
        <v>51600</v>
      </c>
      <c r="K27" s="6">
        <v>6294.73</v>
      </c>
      <c r="M27" s="28">
        <v>31600</v>
      </c>
      <c r="N27" s="6">
        <v>4301.03</v>
      </c>
      <c r="O27" s="17">
        <v>38000</v>
      </c>
      <c r="P27" s="6">
        <v>5024.89</v>
      </c>
      <c r="Q27" s="17">
        <v>46000</v>
      </c>
      <c r="R27" s="6">
        <v>5836.59</v>
      </c>
      <c r="S27" s="17">
        <v>51600</v>
      </c>
      <c r="T27" s="6">
        <v>6325.75</v>
      </c>
      <c r="U27" s="17">
        <v>36800</v>
      </c>
      <c r="V27" s="6">
        <v>4913.58</v>
      </c>
      <c r="W27" s="17">
        <v>3600</v>
      </c>
      <c r="X27" s="6">
        <v>1598.19</v>
      </c>
      <c r="Y27" s="17">
        <v>68400</v>
      </c>
      <c r="Z27" s="6">
        <v>7938.18</v>
      </c>
      <c r="AA27">
        <f t="shared" si="0"/>
        <v>578800</v>
      </c>
      <c r="AB27" s="18">
        <f t="shared" si="1"/>
        <v>71243.84</v>
      </c>
    </row>
    <row r="28" spans="1:28" ht="12.75">
      <c r="A28" s="6" t="s">
        <v>15</v>
      </c>
      <c r="B28">
        <v>1074</v>
      </c>
      <c r="C28" s="3">
        <v>137.04</v>
      </c>
      <c r="D28">
        <v>1253</v>
      </c>
      <c r="E28" s="6">
        <v>159.39</v>
      </c>
      <c r="F28" s="17">
        <v>1407</v>
      </c>
      <c r="G28" s="6">
        <v>178.58</v>
      </c>
      <c r="H28" s="17">
        <v>2759</v>
      </c>
      <c r="I28" s="6">
        <v>358.25</v>
      </c>
      <c r="J28" s="17">
        <v>4186</v>
      </c>
      <c r="K28" s="6">
        <v>544.56</v>
      </c>
      <c r="M28" s="28">
        <v>1728</v>
      </c>
      <c r="N28" s="6">
        <v>225.54</v>
      </c>
      <c r="O28" s="17">
        <v>335</v>
      </c>
      <c r="P28" s="6">
        <v>46.4</v>
      </c>
      <c r="Q28" s="17">
        <v>264</v>
      </c>
      <c r="R28" s="6">
        <v>37.22</v>
      </c>
      <c r="S28" s="17">
        <v>159</v>
      </c>
      <c r="T28" s="6">
        <v>23.64</v>
      </c>
      <c r="U28" s="17">
        <v>141</v>
      </c>
      <c r="V28" s="6">
        <v>21.42</v>
      </c>
      <c r="W28" s="17">
        <v>257</v>
      </c>
      <c r="X28" s="6">
        <v>36.98</v>
      </c>
      <c r="Y28" s="17">
        <v>148</v>
      </c>
      <c r="Z28" s="6">
        <v>22.82</v>
      </c>
      <c r="AA28">
        <f t="shared" si="0"/>
        <v>13711</v>
      </c>
      <c r="AB28" s="18">
        <f t="shared" si="1"/>
        <v>1791.8400000000001</v>
      </c>
    </row>
    <row r="29" spans="1:28" ht="12.75">
      <c r="A29" s="6" t="s">
        <v>15</v>
      </c>
      <c r="B29">
        <v>50</v>
      </c>
      <c r="C29" s="3">
        <v>12.24</v>
      </c>
      <c r="D29">
        <v>50</v>
      </c>
      <c r="E29" s="6">
        <v>12.24</v>
      </c>
      <c r="F29" s="17">
        <v>50</v>
      </c>
      <c r="G29" s="6">
        <v>12.24</v>
      </c>
      <c r="H29" s="17">
        <v>50</v>
      </c>
      <c r="I29" s="6">
        <v>12.42</v>
      </c>
      <c r="J29" s="17">
        <v>50</v>
      </c>
      <c r="K29" s="6">
        <v>12.47</v>
      </c>
      <c r="M29" s="28">
        <v>50</v>
      </c>
      <c r="N29" s="6">
        <v>12.42</v>
      </c>
      <c r="O29" s="17">
        <v>50</v>
      </c>
      <c r="P29" s="6">
        <v>12.42</v>
      </c>
      <c r="Q29" s="17">
        <v>50</v>
      </c>
      <c r="R29" s="6">
        <v>12.42</v>
      </c>
      <c r="S29" s="17">
        <v>50</v>
      </c>
      <c r="T29" s="6">
        <v>12.42</v>
      </c>
      <c r="U29" s="17">
        <v>50</v>
      </c>
      <c r="V29" s="6">
        <v>12.45</v>
      </c>
      <c r="W29" s="17">
        <v>50</v>
      </c>
      <c r="X29" s="6">
        <v>12.67</v>
      </c>
      <c r="Y29" s="17">
        <v>50</v>
      </c>
      <c r="Z29" s="6">
        <v>12.67</v>
      </c>
      <c r="AA29">
        <f aca="true" t="shared" si="2" ref="AA29:AA35">B29+D29+F29+H29+J29+M29+O29+Q29+S29+U29+W29+Y29</f>
        <v>600</v>
      </c>
      <c r="AB29" s="18">
        <f aca="true" t="shared" si="3" ref="AB29:AB35">C29+E29+G29+I29+K29+N29+P29+R29+T29+V29+X29+Z29</f>
        <v>149.07999999999998</v>
      </c>
    </row>
    <row r="30" spans="1:28" ht="12.75">
      <c r="A30" s="6" t="s">
        <v>16</v>
      </c>
      <c r="B30">
        <v>654</v>
      </c>
      <c r="C30" s="3">
        <v>83.85</v>
      </c>
      <c r="D30">
        <v>535</v>
      </c>
      <c r="E30" s="6">
        <v>68.59</v>
      </c>
      <c r="F30" s="17">
        <v>125</v>
      </c>
      <c r="G30" s="6">
        <v>16.03</v>
      </c>
      <c r="H30" s="17">
        <v>177</v>
      </c>
      <c r="I30" s="6">
        <v>23.19</v>
      </c>
      <c r="J30" s="17">
        <v>24</v>
      </c>
      <c r="K30" s="6">
        <v>3.15</v>
      </c>
      <c r="M30" s="28">
        <v>1009</v>
      </c>
      <c r="N30" s="6">
        <v>132.17</v>
      </c>
      <c r="O30" s="17">
        <v>2216</v>
      </c>
      <c r="P30" s="6">
        <v>290.28</v>
      </c>
      <c r="Q30" s="17">
        <v>2483</v>
      </c>
      <c r="R30" s="6">
        <v>325.24</v>
      </c>
      <c r="S30" s="17">
        <v>1082</v>
      </c>
      <c r="T30" s="6">
        <v>141.73</v>
      </c>
      <c r="U30" s="17">
        <v>812</v>
      </c>
      <c r="V30" s="6">
        <v>106.95</v>
      </c>
      <c r="W30" s="17">
        <v>775</v>
      </c>
      <c r="X30" s="6">
        <v>102.79</v>
      </c>
      <c r="Y30" s="17">
        <v>1667</v>
      </c>
      <c r="Z30" s="6">
        <v>221.12</v>
      </c>
      <c r="AA30">
        <f t="shared" si="2"/>
        <v>11559</v>
      </c>
      <c r="AB30" s="18">
        <f t="shared" si="3"/>
        <v>1515.0900000000001</v>
      </c>
    </row>
    <row r="31" spans="1:28" ht="12.75">
      <c r="A31" s="6" t="s">
        <v>17</v>
      </c>
      <c r="B31">
        <v>16720</v>
      </c>
      <c r="C31" s="3">
        <v>1808.88</v>
      </c>
      <c r="D31">
        <v>12240</v>
      </c>
      <c r="E31" s="6">
        <v>1398.18</v>
      </c>
      <c r="F31" s="17">
        <v>8080</v>
      </c>
      <c r="G31" s="6">
        <v>1036.5</v>
      </c>
      <c r="H31" s="17">
        <v>5320</v>
      </c>
      <c r="I31" s="6">
        <v>808.95</v>
      </c>
      <c r="J31" s="17">
        <v>4360</v>
      </c>
      <c r="K31" s="6">
        <v>667.46</v>
      </c>
      <c r="M31" s="28">
        <v>5200</v>
      </c>
      <c r="N31" s="6">
        <v>797.65</v>
      </c>
      <c r="O31" s="17">
        <v>5760</v>
      </c>
      <c r="P31" s="6">
        <v>789.66</v>
      </c>
      <c r="Q31" s="17">
        <v>6840</v>
      </c>
      <c r="R31" s="6">
        <v>927.91</v>
      </c>
      <c r="S31" s="17">
        <v>10160</v>
      </c>
      <c r="T31" s="6">
        <v>1247.37</v>
      </c>
      <c r="U31" s="17">
        <v>9800</v>
      </c>
      <c r="V31" s="6">
        <v>1193.46</v>
      </c>
      <c r="W31" s="17">
        <v>11760</v>
      </c>
      <c r="X31" s="6">
        <v>1378.22</v>
      </c>
      <c r="Y31" s="17">
        <v>14120</v>
      </c>
      <c r="Z31" s="6">
        <v>1629.33</v>
      </c>
      <c r="AA31">
        <f t="shared" si="2"/>
        <v>110360</v>
      </c>
      <c r="AB31" s="18">
        <f t="shared" si="3"/>
        <v>13683.57</v>
      </c>
    </row>
    <row r="32" spans="1:28" ht="12.75">
      <c r="A32" s="6" t="s">
        <v>18</v>
      </c>
      <c r="B32">
        <v>3560</v>
      </c>
      <c r="C32" s="3">
        <v>437.39</v>
      </c>
      <c r="D32">
        <v>2531</v>
      </c>
      <c r="E32" s="6">
        <v>338.69</v>
      </c>
      <c r="F32" s="17">
        <v>2021</v>
      </c>
      <c r="G32" s="6">
        <v>295.06</v>
      </c>
      <c r="H32" s="17">
        <v>1756</v>
      </c>
      <c r="I32" s="6">
        <v>277.01</v>
      </c>
      <c r="J32" s="17">
        <v>1741</v>
      </c>
      <c r="K32" s="6">
        <v>276.72</v>
      </c>
      <c r="M32" s="28">
        <v>3091</v>
      </c>
      <c r="N32" s="6">
        <v>424.47</v>
      </c>
      <c r="O32" s="17">
        <v>2056</v>
      </c>
      <c r="P32" s="6">
        <v>297.01</v>
      </c>
      <c r="Q32" s="17">
        <v>1989</v>
      </c>
      <c r="R32" s="6">
        <v>289.46</v>
      </c>
      <c r="S32" s="17">
        <v>2361</v>
      </c>
      <c r="T32" s="6">
        <v>327</v>
      </c>
      <c r="U32" s="17">
        <v>2491</v>
      </c>
      <c r="V32" s="6">
        <v>338.56</v>
      </c>
      <c r="W32" s="17">
        <v>2948</v>
      </c>
      <c r="X32" s="6">
        <v>391.18</v>
      </c>
      <c r="Y32" s="17">
        <v>3337</v>
      </c>
      <c r="Z32" s="6">
        <v>424.36</v>
      </c>
      <c r="AA32">
        <f t="shared" si="2"/>
        <v>29882</v>
      </c>
      <c r="AB32" s="18">
        <f t="shared" si="3"/>
        <v>4116.91</v>
      </c>
    </row>
    <row r="33" spans="1:28" ht="12.75">
      <c r="A33" s="6" t="s">
        <v>19</v>
      </c>
      <c r="B33">
        <v>15080</v>
      </c>
      <c r="C33" s="3">
        <v>1681.13</v>
      </c>
      <c r="D33">
        <v>11480</v>
      </c>
      <c r="E33" s="6">
        <v>1336.38</v>
      </c>
      <c r="F33" s="17">
        <v>8720</v>
      </c>
      <c r="G33" s="6">
        <v>1071.46</v>
      </c>
      <c r="H33" s="17">
        <v>8920</v>
      </c>
      <c r="I33" s="6">
        <v>1125.25</v>
      </c>
      <c r="J33" s="17">
        <v>9880</v>
      </c>
      <c r="K33" s="6">
        <v>1209.82</v>
      </c>
      <c r="M33" s="28">
        <v>5160</v>
      </c>
      <c r="N33" s="6">
        <v>767.58</v>
      </c>
      <c r="O33" s="17">
        <v>8520</v>
      </c>
      <c r="P33" s="6">
        <v>1086.25</v>
      </c>
      <c r="Q33" s="17">
        <v>7800</v>
      </c>
      <c r="R33" s="6">
        <v>1027.18</v>
      </c>
      <c r="S33" s="17">
        <v>9800</v>
      </c>
      <c r="T33" s="6">
        <v>1215.54</v>
      </c>
      <c r="U33" s="17">
        <v>8360</v>
      </c>
      <c r="V33" s="6">
        <v>1054.45</v>
      </c>
      <c r="W33" s="17">
        <v>7040</v>
      </c>
      <c r="X33" s="6">
        <v>914.67</v>
      </c>
      <c r="Y33" s="17">
        <v>10760</v>
      </c>
      <c r="Z33" s="6">
        <v>1290.1</v>
      </c>
      <c r="AA33">
        <f t="shared" si="2"/>
        <v>111520</v>
      </c>
      <c r="AB33" s="18">
        <f t="shared" si="3"/>
        <v>13779.810000000001</v>
      </c>
    </row>
    <row r="34" spans="1:28" ht="12.75">
      <c r="A34" s="6" t="s">
        <v>20</v>
      </c>
      <c r="B34">
        <v>560</v>
      </c>
      <c r="C34" s="3">
        <v>255.68</v>
      </c>
      <c r="D34">
        <v>520</v>
      </c>
      <c r="E34" s="6">
        <v>253.24</v>
      </c>
      <c r="F34" s="17">
        <v>400</v>
      </c>
      <c r="G34" s="6">
        <v>223.5</v>
      </c>
      <c r="H34" s="17">
        <v>400</v>
      </c>
      <c r="I34" s="6">
        <v>225.11</v>
      </c>
      <c r="J34" s="17">
        <v>360</v>
      </c>
      <c r="K34" s="6">
        <v>222.22</v>
      </c>
      <c r="M34" s="28">
        <v>400</v>
      </c>
      <c r="N34" s="6">
        <v>229.84</v>
      </c>
      <c r="O34" s="17">
        <v>720</v>
      </c>
      <c r="P34" s="6">
        <v>317.61</v>
      </c>
      <c r="Q34" s="17">
        <v>640</v>
      </c>
      <c r="R34" s="6">
        <v>330.42</v>
      </c>
      <c r="S34" s="17">
        <v>1040</v>
      </c>
      <c r="T34" s="6">
        <v>368.1</v>
      </c>
      <c r="U34" s="17">
        <v>840</v>
      </c>
      <c r="V34" s="6">
        <v>289.11</v>
      </c>
      <c r="W34" s="17">
        <v>240</v>
      </c>
      <c r="X34" s="6">
        <v>231.42</v>
      </c>
      <c r="Y34" s="17">
        <v>80</v>
      </c>
      <c r="Z34" s="6">
        <v>196.24</v>
      </c>
      <c r="AA34">
        <f t="shared" si="2"/>
        <v>6200</v>
      </c>
      <c r="AB34" s="18">
        <f t="shared" si="3"/>
        <v>3142.49</v>
      </c>
    </row>
    <row r="35" spans="1:28" s="9" customFormat="1" ht="12.75">
      <c r="A35" s="8" t="s">
        <v>21</v>
      </c>
      <c r="B35" s="9">
        <v>2189</v>
      </c>
      <c r="C35" s="10">
        <v>271.25</v>
      </c>
      <c r="D35" s="9">
        <v>1736</v>
      </c>
      <c r="E35" s="8">
        <v>249.56</v>
      </c>
      <c r="F35" s="9">
        <v>991</v>
      </c>
      <c r="G35" s="8">
        <v>222.68</v>
      </c>
      <c r="H35" s="9">
        <v>2220</v>
      </c>
      <c r="I35" s="8">
        <v>342.43</v>
      </c>
      <c r="J35" s="9">
        <v>797</v>
      </c>
      <c r="K35" s="8">
        <v>209.16</v>
      </c>
      <c r="M35" s="9">
        <v>3742</v>
      </c>
      <c r="N35" s="8">
        <v>485.74</v>
      </c>
      <c r="O35" s="9">
        <v>2098</v>
      </c>
      <c r="P35" s="8">
        <v>325.35</v>
      </c>
      <c r="Q35" s="9">
        <v>1088</v>
      </c>
      <c r="R35" s="8">
        <v>212.08</v>
      </c>
      <c r="S35" s="9">
        <v>1138</v>
      </c>
      <c r="T35" s="8">
        <v>215.54</v>
      </c>
      <c r="U35" s="9">
        <v>606</v>
      </c>
      <c r="V35" s="10">
        <v>157.19</v>
      </c>
      <c r="W35" s="9">
        <v>513</v>
      </c>
      <c r="X35" s="8">
        <v>152.57</v>
      </c>
      <c r="Y35" s="9">
        <v>1500</v>
      </c>
      <c r="Z35" s="8">
        <v>248.75</v>
      </c>
      <c r="AA35">
        <f t="shared" si="2"/>
        <v>18618</v>
      </c>
      <c r="AB35" s="18">
        <f t="shared" si="3"/>
        <v>3092.3</v>
      </c>
    </row>
    <row r="36" spans="27:28" ht="12.75">
      <c r="AA36" s="34"/>
      <c r="AB36" s="35"/>
    </row>
    <row r="37" spans="1:28" s="9" customFormat="1" ht="12.75">
      <c r="A37" s="8"/>
      <c r="B37" s="9">
        <f>SUM(B6:B35)</f>
        <v>738503</v>
      </c>
      <c r="C37" s="10">
        <f>SUM(C6:C35)</f>
        <v>86417.64</v>
      </c>
      <c r="D37" s="9">
        <f>SUM(D5:D36)</f>
        <v>543105</v>
      </c>
      <c r="E37" s="8">
        <f>SUM(E6:E35)</f>
        <v>67863.34000000001</v>
      </c>
      <c r="F37" s="9">
        <f>SUM(F5:F36)</f>
        <v>435934</v>
      </c>
      <c r="G37" s="8">
        <f>SUM(G6:G35)</f>
        <v>56686.75000000001</v>
      </c>
      <c r="H37" s="9">
        <v>410217</v>
      </c>
      <c r="I37" s="8">
        <f>SUM(I6:I35)</f>
        <v>55908.09</v>
      </c>
      <c r="J37" s="9">
        <f>SUM(J5:J36)</f>
        <v>370308</v>
      </c>
      <c r="K37" s="8">
        <f>SUM(K6:K36)</f>
        <v>52153.64000000001</v>
      </c>
      <c r="M37" s="9">
        <f>SUM(M6:M36)</f>
        <v>438859</v>
      </c>
      <c r="N37" s="8">
        <f>SUM(N6:N36)</f>
        <v>58576.45</v>
      </c>
      <c r="O37" s="9">
        <f>SUM(O5:O36)</f>
        <v>399794</v>
      </c>
      <c r="P37" s="8">
        <f>SUM(P6:P35)</f>
        <v>56133.03000000001</v>
      </c>
      <c r="Q37" s="9">
        <f>SUM(Q6:Q36)</f>
        <v>390740</v>
      </c>
      <c r="R37" s="8">
        <f>SUM(R6:R35)</f>
        <v>54625.26</v>
      </c>
      <c r="S37" s="9">
        <f>SUM(S7:S35)</f>
        <v>452067</v>
      </c>
      <c r="T37" s="10">
        <f>SUM(T6:T35)</f>
        <v>60479.43</v>
      </c>
      <c r="U37" s="9">
        <f>SUM(U6:U35)</f>
        <v>393036</v>
      </c>
      <c r="V37" s="10">
        <f>SUM(V6:V35)</f>
        <v>54761.91999999999</v>
      </c>
      <c r="W37" s="32">
        <f>SUM(W6:W36)</f>
        <v>280426</v>
      </c>
      <c r="X37" s="8">
        <f>SUM(X6:X36)</f>
        <v>42935.61</v>
      </c>
      <c r="Y37" s="9">
        <f>SUM(Y6:Y36)</f>
        <v>401064</v>
      </c>
      <c r="Z37" s="8">
        <f>SUM(Z6:Z36)</f>
        <v>54868.05999999999</v>
      </c>
      <c r="AA37" s="33">
        <f>SUM(AA6:AA35)</f>
        <v>5254693</v>
      </c>
      <c r="AB37" s="29">
        <f>SUM(AB6:AB35)</f>
        <v>701409.22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7"/>
  <sheetViews>
    <sheetView zoomScalePageLayoutView="0" workbookViewId="0" topLeftCell="A1">
      <selection activeCell="A1" sqref="A1:IV16384"/>
    </sheetView>
  </sheetViews>
  <sheetFormatPr defaultColWidth="9.140625" defaultRowHeight="12.75"/>
  <cols>
    <col min="1" max="1" width="20.00390625" style="6" customWidth="1"/>
    <col min="2" max="2" width="8.421875" style="0" customWidth="1"/>
    <col min="3" max="3" width="8.28125" style="3" customWidth="1"/>
    <col min="4" max="4" width="8.57421875" style="0" customWidth="1"/>
    <col min="5" max="5" width="8.8515625" style="6" customWidth="1"/>
    <col min="6" max="6" width="8.7109375" style="0" customWidth="1"/>
    <col min="7" max="7" width="9.421875" style="6" customWidth="1"/>
    <col min="8" max="8" width="7.7109375" style="0" customWidth="1"/>
    <col min="9" max="9" width="9.140625" style="6" customWidth="1"/>
    <col min="10" max="10" width="7.57421875" style="0" customWidth="1"/>
    <col min="11" max="11" width="9.140625" style="6" customWidth="1"/>
    <col min="12" max="12" width="0" style="38" hidden="1" customWidth="1"/>
    <col min="13" max="13" width="8.57421875" style="0" customWidth="1"/>
    <col min="14" max="14" width="9.140625" style="6" customWidth="1"/>
    <col min="15" max="15" width="9.7109375" style="0" customWidth="1"/>
    <col min="16" max="16" width="9.140625" style="6" customWidth="1"/>
    <col min="17" max="17" width="8.8515625" style="0" customWidth="1"/>
    <col min="18" max="18" width="9.140625" style="6" customWidth="1"/>
    <col min="19" max="19" width="7.28125" style="0" customWidth="1"/>
    <col min="20" max="20" width="9.140625" style="6" customWidth="1"/>
    <col min="21" max="21" width="6.8515625" style="0" customWidth="1"/>
    <col min="22" max="22" width="11.00390625" style="6" customWidth="1"/>
    <col min="23" max="23" width="9.7109375" style="0" customWidth="1"/>
    <col min="24" max="24" width="9.140625" style="6" customWidth="1"/>
    <col min="25" max="25" width="9.00390625" style="0" customWidth="1"/>
    <col min="26" max="26" width="9.140625" style="6" customWidth="1"/>
    <col min="28" max="28" width="12.00390625" style="0" customWidth="1"/>
  </cols>
  <sheetData>
    <row r="1" spans="1:26" s="1" customFormat="1" ht="12.75">
      <c r="A1" s="4"/>
      <c r="C1" s="2"/>
      <c r="E1" s="4"/>
      <c r="G1" s="4"/>
      <c r="I1" s="4"/>
      <c r="K1" s="4"/>
      <c r="L1" s="39"/>
      <c r="N1" s="4"/>
      <c r="P1" s="4"/>
      <c r="R1" s="4"/>
      <c r="T1" s="4"/>
      <c r="V1" s="4"/>
      <c r="X1" s="4"/>
      <c r="Z1" s="4"/>
    </row>
    <row r="2" spans="1:27" s="12" customFormat="1" ht="12.75">
      <c r="A2" s="11"/>
      <c r="B2" s="12" t="s">
        <v>64</v>
      </c>
      <c r="C2" s="13"/>
      <c r="D2" s="12" t="s">
        <v>65</v>
      </c>
      <c r="E2" s="11"/>
      <c r="F2" s="12" t="s">
        <v>66</v>
      </c>
      <c r="G2" s="11"/>
      <c r="H2" s="42" t="s">
        <v>67</v>
      </c>
      <c r="I2" s="43"/>
      <c r="J2" s="12" t="s">
        <v>70</v>
      </c>
      <c r="K2" s="11"/>
      <c r="M2" s="12" t="s">
        <v>68</v>
      </c>
      <c r="N2" s="11"/>
      <c r="O2" s="12" t="s">
        <v>69</v>
      </c>
      <c r="P2" s="11"/>
      <c r="Q2" s="12" t="s">
        <v>71</v>
      </c>
      <c r="R2" s="11"/>
      <c r="S2" s="12" t="s">
        <v>72</v>
      </c>
      <c r="T2" s="11"/>
      <c r="U2" s="12" t="s">
        <v>73</v>
      </c>
      <c r="V2" s="11"/>
      <c r="W2" s="12" t="s">
        <v>74</v>
      </c>
      <c r="X2" s="31"/>
      <c r="Y2" s="12" t="s">
        <v>75</v>
      </c>
      <c r="Z2" s="11"/>
      <c r="AA2" s="12" t="s">
        <v>37</v>
      </c>
    </row>
    <row r="3" spans="1:28" s="15" customFormat="1" ht="12.75">
      <c r="A3" s="14" t="s">
        <v>0</v>
      </c>
      <c r="B3" s="15" t="s">
        <v>35</v>
      </c>
      <c r="C3" s="16" t="s">
        <v>36</v>
      </c>
      <c r="D3" s="15" t="s">
        <v>35</v>
      </c>
      <c r="E3" s="16" t="s">
        <v>36</v>
      </c>
      <c r="F3" s="15" t="s">
        <v>35</v>
      </c>
      <c r="G3" s="16" t="s">
        <v>36</v>
      </c>
      <c r="H3" s="15" t="s">
        <v>35</v>
      </c>
      <c r="I3" s="16" t="s">
        <v>36</v>
      </c>
      <c r="J3" s="15" t="s">
        <v>35</v>
      </c>
      <c r="K3" s="16" t="s">
        <v>36</v>
      </c>
      <c r="M3" s="15" t="s">
        <v>35</v>
      </c>
      <c r="N3" s="16" t="s">
        <v>36</v>
      </c>
      <c r="O3" s="15" t="s">
        <v>35</v>
      </c>
      <c r="P3" s="16" t="s">
        <v>36</v>
      </c>
      <c r="Q3" s="15" t="s">
        <v>35</v>
      </c>
      <c r="R3" s="16" t="s">
        <v>36</v>
      </c>
      <c r="S3" s="15" t="s">
        <v>35</v>
      </c>
      <c r="T3" s="16" t="s">
        <v>36</v>
      </c>
      <c r="U3" s="15" t="s">
        <v>35</v>
      </c>
      <c r="V3" s="16" t="s">
        <v>36</v>
      </c>
      <c r="W3" s="30" t="s">
        <v>35</v>
      </c>
      <c r="X3" s="16" t="s">
        <v>36</v>
      </c>
      <c r="Y3" s="15" t="s">
        <v>35</v>
      </c>
      <c r="Z3" s="16" t="s">
        <v>36</v>
      </c>
      <c r="AA3" s="15" t="s">
        <v>35</v>
      </c>
      <c r="AB3" s="15" t="s">
        <v>36</v>
      </c>
    </row>
    <row r="4" spans="1:26" s="24" customFormat="1" ht="12.75">
      <c r="A4" s="5"/>
      <c r="C4" s="25"/>
      <c r="E4" s="25"/>
      <c r="G4" s="25"/>
      <c r="I4" s="25"/>
      <c r="K4" s="25"/>
      <c r="L4" s="40"/>
      <c r="N4" s="25"/>
      <c r="P4" s="25"/>
      <c r="Q4" s="45"/>
      <c r="R4" s="25"/>
      <c r="T4" s="25"/>
      <c r="V4" s="25"/>
      <c r="X4" s="25"/>
      <c r="Z4" s="25"/>
    </row>
    <row r="5" spans="1:28" ht="12.75">
      <c r="A5" s="6" t="s">
        <v>1</v>
      </c>
      <c r="B5">
        <v>5</v>
      </c>
      <c r="C5" s="3">
        <v>4.24</v>
      </c>
      <c r="D5">
        <v>1</v>
      </c>
      <c r="E5" s="6">
        <v>3.72</v>
      </c>
      <c r="F5" s="17">
        <v>0</v>
      </c>
      <c r="G5" s="6">
        <v>3.59</v>
      </c>
      <c r="H5" s="17">
        <v>1</v>
      </c>
      <c r="I5" s="6">
        <v>3.72</v>
      </c>
      <c r="J5" s="17"/>
      <c r="K5" s="6">
        <v>3.59</v>
      </c>
      <c r="L5" s="30"/>
      <c r="M5" s="17">
        <v>2</v>
      </c>
      <c r="N5" s="6">
        <v>3.84</v>
      </c>
      <c r="O5" s="17">
        <v>6</v>
      </c>
      <c r="P5" s="6">
        <v>4.35</v>
      </c>
      <c r="Q5" s="17">
        <v>31</v>
      </c>
      <c r="R5" s="6">
        <v>7.61</v>
      </c>
      <c r="S5" s="17">
        <v>33</v>
      </c>
      <c r="T5" s="6">
        <v>7.88</v>
      </c>
      <c r="U5" s="17">
        <v>3</v>
      </c>
      <c r="V5" s="6">
        <v>3.96</v>
      </c>
      <c r="W5" s="17">
        <v>2</v>
      </c>
      <c r="X5" s="6">
        <v>3.84</v>
      </c>
      <c r="Y5" s="17">
        <v>0</v>
      </c>
      <c r="Z5" s="6">
        <v>3.59</v>
      </c>
      <c r="AA5">
        <f>B5+D5+F5+H5+J5+M5+O5+Q5+S5+U5+W5+Y5</f>
        <v>84</v>
      </c>
      <c r="AB5" s="18">
        <f>C5+E5+G5+I5+K5+N5+P5+R5+T5+V5+X5+Z5</f>
        <v>53.93000000000001</v>
      </c>
    </row>
    <row r="6" spans="1:28" ht="12.75">
      <c r="A6" s="6" t="s">
        <v>1</v>
      </c>
      <c r="B6">
        <v>748</v>
      </c>
      <c r="C6" s="3">
        <v>118.41</v>
      </c>
      <c r="D6">
        <v>748</v>
      </c>
      <c r="E6" s="6">
        <v>118.41</v>
      </c>
      <c r="F6" s="17">
        <v>748</v>
      </c>
      <c r="G6" s="6">
        <v>118.41</v>
      </c>
      <c r="H6" s="17">
        <v>748</v>
      </c>
      <c r="I6" s="6">
        <v>118.41</v>
      </c>
      <c r="J6" s="17">
        <v>748</v>
      </c>
      <c r="K6" s="6">
        <v>118.41</v>
      </c>
      <c r="M6" s="17">
        <v>748</v>
      </c>
      <c r="N6" s="6">
        <v>118.41</v>
      </c>
      <c r="O6" s="17">
        <v>748</v>
      </c>
      <c r="P6" s="6">
        <v>118.41</v>
      </c>
      <c r="Q6" s="17">
        <v>748</v>
      </c>
      <c r="R6" s="6">
        <v>118.41</v>
      </c>
      <c r="S6" s="17">
        <v>748</v>
      </c>
      <c r="T6" s="6">
        <v>118.41</v>
      </c>
      <c r="U6" s="17">
        <v>748</v>
      </c>
      <c r="V6" s="6">
        <v>118.41</v>
      </c>
      <c r="W6" s="17">
        <v>748</v>
      </c>
      <c r="X6" s="6">
        <v>118.41</v>
      </c>
      <c r="Y6" s="17">
        <v>748</v>
      </c>
      <c r="Z6" s="6">
        <v>118.41</v>
      </c>
      <c r="AA6">
        <f aca="true" t="shared" si="0" ref="AA6:AA35">B6+D6+F6+H6+J6+M6+O6+Q6+S6+U6+W6+Y6</f>
        <v>8976</v>
      </c>
      <c r="AB6" s="18">
        <f aca="true" t="shared" si="1" ref="AB6:AB35">C6+E6+G6+I6+K6+N6+P6+R6+T6+V6+X6+Z6</f>
        <v>1420.92</v>
      </c>
    </row>
    <row r="7" spans="1:28" ht="12.75">
      <c r="A7" s="6" t="s">
        <v>1</v>
      </c>
      <c r="B7">
        <v>50</v>
      </c>
      <c r="C7" s="3">
        <v>12.67</v>
      </c>
      <c r="D7">
        <v>50</v>
      </c>
      <c r="E7" s="6">
        <v>12.67</v>
      </c>
      <c r="F7" s="17">
        <v>50</v>
      </c>
      <c r="G7" s="6">
        <v>12.67</v>
      </c>
      <c r="H7" s="17">
        <v>50</v>
      </c>
      <c r="I7" s="6">
        <v>12.67</v>
      </c>
      <c r="J7" s="17">
        <v>50</v>
      </c>
      <c r="K7" s="6">
        <v>12.67</v>
      </c>
      <c r="M7" s="17">
        <v>50</v>
      </c>
      <c r="N7" s="6">
        <v>12.67</v>
      </c>
      <c r="O7" s="17">
        <v>50</v>
      </c>
      <c r="P7" s="6">
        <v>12.67</v>
      </c>
      <c r="Q7" s="17">
        <v>50</v>
      </c>
      <c r="R7" s="6">
        <v>12.67</v>
      </c>
      <c r="S7" s="17">
        <v>50</v>
      </c>
      <c r="T7" s="6">
        <v>12.67</v>
      </c>
      <c r="U7" s="17">
        <v>50</v>
      </c>
      <c r="V7" s="6">
        <v>12.67</v>
      </c>
      <c r="W7" s="17">
        <v>50</v>
      </c>
      <c r="X7" s="6">
        <v>12.67</v>
      </c>
      <c r="Y7" s="17">
        <v>50</v>
      </c>
      <c r="Z7" s="6">
        <v>12.67</v>
      </c>
      <c r="AA7">
        <f t="shared" si="0"/>
        <v>600</v>
      </c>
      <c r="AB7" s="18">
        <f t="shared" si="1"/>
        <v>152.04</v>
      </c>
    </row>
    <row r="8" spans="1:28" ht="12.75">
      <c r="A8" s="6" t="s">
        <v>1</v>
      </c>
      <c r="B8">
        <v>11360</v>
      </c>
      <c r="C8" s="3">
        <v>2090.16</v>
      </c>
      <c r="D8">
        <v>14560</v>
      </c>
      <c r="E8" s="6">
        <v>2455.56</v>
      </c>
      <c r="F8" s="17">
        <v>13600</v>
      </c>
      <c r="G8" s="6">
        <v>2323.3</v>
      </c>
      <c r="H8" s="17">
        <v>9520</v>
      </c>
      <c r="I8" s="6">
        <v>1894.96</v>
      </c>
      <c r="J8" s="17">
        <v>8720</v>
      </c>
      <c r="K8" s="6">
        <v>1819.03</v>
      </c>
      <c r="M8" s="17">
        <v>9280</v>
      </c>
      <c r="N8" s="6">
        <v>1872.2</v>
      </c>
      <c r="O8" s="17">
        <v>7680</v>
      </c>
      <c r="P8" s="6">
        <v>1701.07</v>
      </c>
      <c r="Q8" s="17">
        <v>8080</v>
      </c>
      <c r="R8" s="6">
        <v>1766.68</v>
      </c>
      <c r="S8" s="17">
        <v>5840</v>
      </c>
      <c r="T8" s="6">
        <v>1554.09</v>
      </c>
      <c r="U8" s="17">
        <v>7040</v>
      </c>
      <c r="V8" s="6">
        <v>1393.85</v>
      </c>
      <c r="W8" s="17">
        <v>6880</v>
      </c>
      <c r="X8" s="6">
        <v>1374.54</v>
      </c>
      <c r="Y8" s="17">
        <v>8560</v>
      </c>
      <c r="Z8" s="6">
        <v>1659.85</v>
      </c>
      <c r="AA8">
        <f t="shared" si="0"/>
        <v>111120</v>
      </c>
      <c r="AB8" s="18">
        <f t="shared" si="1"/>
        <v>21905.289999999997</v>
      </c>
    </row>
    <row r="9" spans="1:28" ht="12.75">
      <c r="A9" s="6" t="s">
        <v>2</v>
      </c>
      <c r="B9" s="7">
        <v>197280</v>
      </c>
      <c r="C9" s="3">
        <v>22786.08</v>
      </c>
      <c r="D9">
        <v>162080</v>
      </c>
      <c r="E9" s="6">
        <v>19006.58</v>
      </c>
      <c r="F9" s="17">
        <v>115520</v>
      </c>
      <c r="G9" s="6">
        <v>14160.53</v>
      </c>
      <c r="H9" s="17">
        <v>108320</v>
      </c>
      <c r="I9" s="6">
        <v>13421.55</v>
      </c>
      <c r="J9" s="17">
        <v>86080</v>
      </c>
      <c r="K9" s="6">
        <v>11190.32</v>
      </c>
      <c r="M9" s="17">
        <v>111200</v>
      </c>
      <c r="N9" s="6">
        <v>13599.56</v>
      </c>
      <c r="O9" s="17">
        <v>101440</v>
      </c>
      <c r="P9" s="6">
        <v>12662.82</v>
      </c>
      <c r="Q9" s="17">
        <v>94240</v>
      </c>
      <c r="R9" s="6">
        <v>12106.72</v>
      </c>
      <c r="S9" s="17">
        <v>110560</v>
      </c>
      <c r="T9" s="6">
        <v>13767.67</v>
      </c>
      <c r="U9" s="17">
        <v>134240</v>
      </c>
      <c r="V9" s="6">
        <v>15980.51</v>
      </c>
      <c r="W9" s="17">
        <v>120640</v>
      </c>
      <c r="X9" s="6">
        <v>14545.9</v>
      </c>
      <c r="Y9" s="17">
        <v>134240</v>
      </c>
      <c r="Z9" s="6">
        <v>15862.93</v>
      </c>
      <c r="AA9">
        <f t="shared" si="0"/>
        <v>1475840</v>
      </c>
      <c r="AB9" s="18">
        <f t="shared" si="1"/>
        <v>179091.17</v>
      </c>
    </row>
    <row r="10" spans="1:28" ht="12.75">
      <c r="A10" s="6" t="s">
        <v>2</v>
      </c>
      <c r="B10">
        <v>71</v>
      </c>
      <c r="C10" s="3">
        <v>14.86</v>
      </c>
      <c r="D10">
        <v>71</v>
      </c>
      <c r="E10" s="6">
        <v>14.86</v>
      </c>
      <c r="F10" s="17">
        <v>71</v>
      </c>
      <c r="G10" s="6">
        <v>14.86</v>
      </c>
      <c r="H10" s="17">
        <v>71</v>
      </c>
      <c r="I10" s="6">
        <v>14.86</v>
      </c>
      <c r="J10" s="17">
        <v>71</v>
      </c>
      <c r="K10" s="6">
        <v>14.86</v>
      </c>
      <c r="M10" s="17">
        <v>71</v>
      </c>
      <c r="N10" s="6">
        <v>14.86</v>
      </c>
      <c r="O10" s="17">
        <v>71</v>
      </c>
      <c r="P10" s="6">
        <v>14.86</v>
      </c>
      <c r="Q10" s="17">
        <v>71</v>
      </c>
      <c r="R10" s="6">
        <v>14.86</v>
      </c>
      <c r="S10" s="17">
        <v>71</v>
      </c>
      <c r="T10" s="6">
        <v>14.86</v>
      </c>
      <c r="U10" s="17">
        <v>71</v>
      </c>
      <c r="V10" s="6">
        <v>14.86</v>
      </c>
      <c r="W10" s="17">
        <v>71</v>
      </c>
      <c r="X10" s="6">
        <v>14.86</v>
      </c>
      <c r="Y10" s="17">
        <v>71</v>
      </c>
      <c r="Z10" s="6">
        <v>14.86</v>
      </c>
      <c r="AA10">
        <f t="shared" si="0"/>
        <v>852</v>
      </c>
      <c r="AB10" s="18">
        <f t="shared" si="1"/>
        <v>178.32000000000005</v>
      </c>
    </row>
    <row r="11" spans="1:28" ht="12.75">
      <c r="A11" s="6" t="s">
        <v>2</v>
      </c>
      <c r="B11">
        <v>160</v>
      </c>
      <c r="C11" s="3">
        <v>29</v>
      </c>
      <c r="D11">
        <v>160</v>
      </c>
      <c r="E11" s="6">
        <v>29</v>
      </c>
      <c r="F11" s="17">
        <v>160</v>
      </c>
      <c r="G11" s="6">
        <v>29</v>
      </c>
      <c r="H11" s="17">
        <v>160</v>
      </c>
      <c r="I11" s="6">
        <v>29</v>
      </c>
      <c r="J11" s="17">
        <v>160</v>
      </c>
      <c r="K11" s="26">
        <v>29</v>
      </c>
      <c r="L11" s="41"/>
      <c r="M11" s="27">
        <v>160</v>
      </c>
      <c r="N11" s="6">
        <v>29</v>
      </c>
      <c r="O11" s="17">
        <v>160</v>
      </c>
      <c r="P11" s="6">
        <v>29</v>
      </c>
      <c r="Q11" s="17">
        <v>160</v>
      </c>
      <c r="R11" s="6">
        <v>29</v>
      </c>
      <c r="S11" s="17">
        <v>160</v>
      </c>
      <c r="T11" s="6">
        <v>29</v>
      </c>
      <c r="U11" s="17">
        <v>160</v>
      </c>
      <c r="V11" s="6">
        <v>29</v>
      </c>
      <c r="W11" s="17">
        <v>160</v>
      </c>
      <c r="X11" s="6">
        <v>29</v>
      </c>
      <c r="Y11" s="17">
        <v>160</v>
      </c>
      <c r="Z11" s="6">
        <v>29</v>
      </c>
      <c r="AA11">
        <f t="shared" si="0"/>
        <v>1920</v>
      </c>
      <c r="AB11" s="18">
        <f t="shared" si="1"/>
        <v>348</v>
      </c>
    </row>
    <row r="12" spans="1:28" ht="12.75">
      <c r="A12" s="6" t="s">
        <v>2</v>
      </c>
      <c r="B12">
        <v>374</v>
      </c>
      <c r="C12" s="3">
        <v>59.2</v>
      </c>
      <c r="D12">
        <v>374</v>
      </c>
      <c r="E12" s="6">
        <v>59.2</v>
      </c>
      <c r="F12" s="17">
        <v>374</v>
      </c>
      <c r="G12" s="6">
        <v>59.2</v>
      </c>
      <c r="H12" s="17">
        <v>374</v>
      </c>
      <c r="I12" s="6">
        <v>59.2</v>
      </c>
      <c r="J12" s="17">
        <v>374</v>
      </c>
      <c r="K12" s="6">
        <v>59.2</v>
      </c>
      <c r="M12" s="28">
        <v>374</v>
      </c>
      <c r="N12" s="6">
        <v>59.2</v>
      </c>
      <c r="O12" s="17">
        <v>374</v>
      </c>
      <c r="P12" s="6">
        <v>59.2</v>
      </c>
      <c r="Q12" s="17">
        <v>374</v>
      </c>
      <c r="R12" s="6">
        <v>59.2</v>
      </c>
      <c r="S12" s="17">
        <v>374</v>
      </c>
      <c r="T12" s="6">
        <v>59.2</v>
      </c>
      <c r="U12" s="17">
        <v>374</v>
      </c>
      <c r="V12" s="6">
        <v>59.2</v>
      </c>
      <c r="W12" s="17">
        <v>374</v>
      </c>
      <c r="X12" s="6">
        <v>59.2</v>
      </c>
      <c r="Y12" s="17">
        <v>374</v>
      </c>
      <c r="Z12" s="6">
        <v>59.2</v>
      </c>
      <c r="AA12">
        <f t="shared" si="0"/>
        <v>4488</v>
      </c>
      <c r="AB12" s="18">
        <f t="shared" si="1"/>
        <v>710.4000000000001</v>
      </c>
    </row>
    <row r="13" spans="1:28" ht="12.75">
      <c r="A13" s="6" t="s">
        <v>3</v>
      </c>
      <c r="B13">
        <v>11000</v>
      </c>
      <c r="C13" s="3">
        <v>1356.75</v>
      </c>
      <c r="D13">
        <v>10000</v>
      </c>
      <c r="E13" s="6">
        <v>1227.58</v>
      </c>
      <c r="F13" s="17">
        <v>6680</v>
      </c>
      <c r="G13" s="6">
        <v>891.94</v>
      </c>
      <c r="H13" s="17">
        <v>5920</v>
      </c>
      <c r="I13" s="6">
        <v>808.51</v>
      </c>
      <c r="J13" s="17">
        <v>4880</v>
      </c>
      <c r="K13" s="6">
        <v>697.92</v>
      </c>
      <c r="M13" s="28">
        <v>6320</v>
      </c>
      <c r="N13" s="6">
        <v>830.59</v>
      </c>
      <c r="O13" s="17">
        <v>6120</v>
      </c>
      <c r="P13" s="6">
        <v>827.84</v>
      </c>
      <c r="Q13" s="17">
        <v>5800</v>
      </c>
      <c r="R13" s="6">
        <v>798.86</v>
      </c>
      <c r="S13" s="17">
        <v>6160</v>
      </c>
      <c r="T13" s="6">
        <v>839.94</v>
      </c>
      <c r="U13" s="17">
        <v>8120</v>
      </c>
      <c r="V13" s="6">
        <v>1044.5</v>
      </c>
      <c r="W13" s="17">
        <v>8840</v>
      </c>
      <c r="X13" s="6">
        <v>1133.58</v>
      </c>
      <c r="Y13" s="17">
        <v>10360</v>
      </c>
      <c r="Z13" s="6">
        <v>1270.92</v>
      </c>
      <c r="AA13">
        <f t="shared" si="0"/>
        <v>90200</v>
      </c>
      <c r="AB13" s="18">
        <f t="shared" si="1"/>
        <v>11728.93</v>
      </c>
    </row>
    <row r="14" spans="1:28" ht="12.75">
      <c r="A14" s="6" t="s">
        <v>34</v>
      </c>
      <c r="B14">
        <v>94320</v>
      </c>
      <c r="C14" s="3">
        <v>11307.36</v>
      </c>
      <c r="D14">
        <v>69120</v>
      </c>
      <c r="E14" s="6">
        <v>8545.73</v>
      </c>
      <c r="F14" s="17">
        <v>48000</v>
      </c>
      <c r="G14" s="6">
        <v>6490.95</v>
      </c>
      <c r="H14" s="17">
        <v>47520</v>
      </c>
      <c r="I14" s="6">
        <v>6438.79</v>
      </c>
      <c r="J14" s="17">
        <v>46320</v>
      </c>
      <c r="K14" s="6">
        <v>6340.77</v>
      </c>
      <c r="M14" s="28">
        <v>57600</v>
      </c>
      <c r="N14" s="6">
        <v>7602.55</v>
      </c>
      <c r="O14" s="17">
        <v>50640</v>
      </c>
      <c r="P14" s="6">
        <v>6920.59</v>
      </c>
      <c r="Q14" s="17">
        <v>43440</v>
      </c>
      <c r="R14" s="6">
        <v>6251.41</v>
      </c>
      <c r="S14" s="17">
        <v>51600</v>
      </c>
      <c r="T14" s="6">
        <v>7043.17</v>
      </c>
      <c r="U14" s="17">
        <v>57600</v>
      </c>
      <c r="V14" s="6">
        <v>7635.23</v>
      </c>
      <c r="W14" s="17">
        <v>40080</v>
      </c>
      <c r="X14" s="6">
        <v>5670.55</v>
      </c>
      <c r="Y14" s="17">
        <v>54000</v>
      </c>
      <c r="Z14" s="6">
        <v>7077.17</v>
      </c>
      <c r="AA14">
        <f t="shared" si="0"/>
        <v>660240</v>
      </c>
      <c r="AB14" s="18">
        <f t="shared" si="1"/>
        <v>87324.27</v>
      </c>
    </row>
    <row r="15" spans="1:28" ht="12.75">
      <c r="A15" s="6" t="s">
        <v>4</v>
      </c>
      <c r="B15">
        <v>46</v>
      </c>
      <c r="C15" s="3">
        <v>22.38</v>
      </c>
      <c r="D15">
        <v>56</v>
      </c>
      <c r="E15" s="6">
        <v>30.27</v>
      </c>
      <c r="F15" s="17">
        <v>16</v>
      </c>
      <c r="G15" s="6">
        <v>26.47</v>
      </c>
      <c r="H15" s="17">
        <v>5</v>
      </c>
      <c r="I15" s="6">
        <v>22.9</v>
      </c>
      <c r="J15" s="17">
        <v>363</v>
      </c>
      <c r="K15" s="6">
        <v>59.39</v>
      </c>
      <c r="M15" s="28">
        <v>324</v>
      </c>
      <c r="N15" s="6">
        <v>45.84</v>
      </c>
      <c r="O15" s="17">
        <v>359</v>
      </c>
      <c r="P15" s="6">
        <v>50.2</v>
      </c>
      <c r="Q15" s="17">
        <v>170</v>
      </c>
      <c r="R15" s="6">
        <v>25.68</v>
      </c>
      <c r="S15" s="17">
        <v>17</v>
      </c>
      <c r="T15" s="6">
        <v>5.8</v>
      </c>
      <c r="U15" s="17">
        <v>18</v>
      </c>
      <c r="V15" s="6">
        <v>5.92</v>
      </c>
      <c r="W15" s="17">
        <v>22</v>
      </c>
      <c r="X15" s="6">
        <v>6.44</v>
      </c>
      <c r="Y15" s="17">
        <v>23</v>
      </c>
      <c r="Z15" s="6">
        <v>6.58</v>
      </c>
      <c r="AA15">
        <f t="shared" si="0"/>
        <v>1419</v>
      </c>
      <c r="AB15" s="18">
        <f t="shared" si="1"/>
        <v>307.87000000000006</v>
      </c>
    </row>
    <row r="16" spans="1:28" ht="12.75">
      <c r="A16" s="6" t="s">
        <v>5</v>
      </c>
      <c r="B16">
        <v>86200</v>
      </c>
      <c r="C16" s="3">
        <v>10475.01</v>
      </c>
      <c r="D16">
        <v>82800</v>
      </c>
      <c r="E16" s="6">
        <v>10111.2</v>
      </c>
      <c r="F16" s="17">
        <v>54000</v>
      </c>
      <c r="G16" s="6">
        <v>7035.08</v>
      </c>
      <c r="H16" s="17">
        <v>44200</v>
      </c>
      <c r="I16" s="6">
        <v>5981.25</v>
      </c>
      <c r="J16" s="17">
        <v>53400</v>
      </c>
      <c r="K16" s="6">
        <v>6872.95</v>
      </c>
      <c r="M16" s="28">
        <v>58800</v>
      </c>
      <c r="N16" s="6">
        <v>7541.57</v>
      </c>
      <c r="O16" s="17">
        <v>56800</v>
      </c>
      <c r="P16" s="6">
        <v>7368.41</v>
      </c>
      <c r="Q16" s="17">
        <v>43400</v>
      </c>
      <c r="R16" s="6">
        <v>6115.04</v>
      </c>
      <c r="S16" s="17">
        <v>58400</v>
      </c>
      <c r="T16" s="6">
        <v>7614.72</v>
      </c>
      <c r="U16" s="17">
        <v>57600</v>
      </c>
      <c r="V16" s="6">
        <v>7813.2</v>
      </c>
      <c r="W16" s="17">
        <v>47400</v>
      </c>
      <c r="X16" s="6">
        <v>6201.91</v>
      </c>
      <c r="Y16" s="17">
        <v>51000</v>
      </c>
      <c r="Z16" s="6">
        <v>6570.35</v>
      </c>
      <c r="AA16">
        <f t="shared" si="0"/>
        <v>694000</v>
      </c>
      <c r="AB16" s="18">
        <f t="shared" si="1"/>
        <v>89700.69</v>
      </c>
    </row>
    <row r="17" spans="1:28" ht="12.75">
      <c r="A17" s="26" t="s">
        <v>50</v>
      </c>
      <c r="B17">
        <v>640</v>
      </c>
      <c r="C17" s="3">
        <v>116.08</v>
      </c>
      <c r="D17">
        <v>640</v>
      </c>
      <c r="E17" s="6">
        <v>116.08</v>
      </c>
      <c r="F17" s="17">
        <v>640</v>
      </c>
      <c r="G17" s="6">
        <v>116.08</v>
      </c>
      <c r="H17" s="17">
        <v>640</v>
      </c>
      <c r="I17" s="17">
        <v>116.08</v>
      </c>
      <c r="J17" s="17">
        <v>640</v>
      </c>
      <c r="K17" s="6">
        <v>116.08</v>
      </c>
      <c r="M17" s="28">
        <v>640</v>
      </c>
      <c r="N17" s="6">
        <v>116.08</v>
      </c>
      <c r="O17" s="17">
        <v>640</v>
      </c>
      <c r="P17" s="6">
        <v>116.08</v>
      </c>
      <c r="Q17" s="17">
        <v>640</v>
      </c>
      <c r="R17" s="6">
        <v>116.08</v>
      </c>
      <c r="S17" s="17">
        <v>640</v>
      </c>
      <c r="T17" s="3">
        <v>116.08</v>
      </c>
      <c r="U17" s="17">
        <v>640</v>
      </c>
      <c r="V17" s="3">
        <v>116.08</v>
      </c>
      <c r="W17" s="17">
        <v>640</v>
      </c>
      <c r="X17" s="6">
        <v>116.08</v>
      </c>
      <c r="Y17" s="17">
        <v>640</v>
      </c>
      <c r="Z17" s="6">
        <v>116.08</v>
      </c>
      <c r="AA17">
        <f t="shared" si="0"/>
        <v>7680</v>
      </c>
      <c r="AB17" s="18">
        <f t="shared" si="1"/>
        <v>1392.9599999999998</v>
      </c>
    </row>
    <row r="18" spans="1:28" ht="12.75">
      <c r="A18" s="6" t="s">
        <v>6</v>
      </c>
      <c r="B18">
        <v>28880</v>
      </c>
      <c r="C18" s="3">
        <v>3656.98</v>
      </c>
      <c r="D18">
        <v>35840</v>
      </c>
      <c r="E18" s="6">
        <v>4296.99</v>
      </c>
      <c r="F18" s="17">
        <v>17840</v>
      </c>
      <c r="G18" s="6">
        <v>2403.37</v>
      </c>
      <c r="H18" s="17">
        <v>12960</v>
      </c>
      <c r="I18" s="6">
        <v>2029.51</v>
      </c>
      <c r="J18" s="17">
        <v>13360</v>
      </c>
      <c r="K18" s="6">
        <v>1951.69</v>
      </c>
      <c r="M18" s="28">
        <v>13280</v>
      </c>
      <c r="N18" s="6">
        <v>1963.98</v>
      </c>
      <c r="O18" s="17">
        <v>12240</v>
      </c>
      <c r="P18" s="6">
        <v>1822.95</v>
      </c>
      <c r="Q18" s="17">
        <v>12160</v>
      </c>
      <c r="R18" s="6">
        <v>1878.99</v>
      </c>
      <c r="S18" s="17">
        <v>19600</v>
      </c>
      <c r="T18" s="6">
        <v>2587.87</v>
      </c>
      <c r="U18" s="17">
        <v>29600</v>
      </c>
      <c r="V18" s="6">
        <v>3636.25</v>
      </c>
      <c r="W18" s="17">
        <v>25040</v>
      </c>
      <c r="X18" s="6">
        <v>3112.48</v>
      </c>
      <c r="Y18" s="17">
        <v>28720</v>
      </c>
      <c r="Z18" s="6">
        <v>3815.47</v>
      </c>
      <c r="AA18">
        <f t="shared" si="0"/>
        <v>249520</v>
      </c>
      <c r="AB18" s="18">
        <f t="shared" si="1"/>
        <v>33156.53</v>
      </c>
    </row>
    <row r="19" spans="1:28" ht="12.75">
      <c r="A19" s="6" t="s">
        <v>7</v>
      </c>
      <c r="B19">
        <v>111</v>
      </c>
      <c r="C19" s="3">
        <v>104.65</v>
      </c>
      <c r="D19">
        <v>1372</v>
      </c>
      <c r="E19" s="6">
        <v>224.32</v>
      </c>
      <c r="F19" s="17">
        <v>257</v>
      </c>
      <c r="G19" s="6">
        <v>118.49</v>
      </c>
      <c r="H19" s="17">
        <v>1869</v>
      </c>
      <c r="I19" s="6">
        <v>268.83</v>
      </c>
      <c r="J19" s="17">
        <v>1992</v>
      </c>
      <c r="K19" s="6">
        <v>316.76</v>
      </c>
      <c r="M19" s="28">
        <v>2445</v>
      </c>
      <c r="N19" s="6">
        <v>328.8</v>
      </c>
      <c r="O19" s="17">
        <v>1369</v>
      </c>
      <c r="P19" s="6">
        <v>265.46</v>
      </c>
      <c r="Q19" s="17">
        <v>1307</v>
      </c>
      <c r="R19" s="6">
        <v>259.59</v>
      </c>
      <c r="S19" s="17">
        <v>-333</v>
      </c>
      <c r="T19" s="6">
        <v>68.53</v>
      </c>
      <c r="U19" s="17">
        <v>1503</v>
      </c>
      <c r="V19" s="6">
        <v>240.01</v>
      </c>
      <c r="W19" s="17">
        <v>1779</v>
      </c>
      <c r="X19" s="6">
        <v>267.61</v>
      </c>
      <c r="Y19" s="17">
        <v>1674</v>
      </c>
      <c r="Z19" s="6">
        <v>257.62</v>
      </c>
      <c r="AA19">
        <f t="shared" si="0"/>
        <v>15345</v>
      </c>
      <c r="AB19" s="18">
        <f t="shared" si="1"/>
        <v>2720.6699999999996</v>
      </c>
    </row>
    <row r="20" spans="1:28" ht="12.75">
      <c r="A20" s="6" t="s">
        <v>8</v>
      </c>
      <c r="B20">
        <v>7</v>
      </c>
      <c r="C20" s="3">
        <v>4.5</v>
      </c>
      <c r="D20">
        <v>213</v>
      </c>
      <c r="E20" s="6">
        <v>31.35</v>
      </c>
      <c r="F20" s="17">
        <v>213</v>
      </c>
      <c r="G20" s="6">
        <v>31.35</v>
      </c>
      <c r="H20" s="17">
        <v>231</v>
      </c>
      <c r="I20" s="6">
        <v>33.7</v>
      </c>
      <c r="J20" s="17">
        <v>43</v>
      </c>
      <c r="K20" s="6">
        <v>9.19</v>
      </c>
      <c r="M20" s="28">
        <v>129</v>
      </c>
      <c r="N20" s="6">
        <v>20.38</v>
      </c>
      <c r="O20" s="17">
        <v>252</v>
      </c>
      <c r="P20" s="6">
        <v>36.3</v>
      </c>
      <c r="Q20" s="17">
        <v>252</v>
      </c>
      <c r="R20" s="6">
        <v>36.3</v>
      </c>
      <c r="S20" s="17">
        <v>146</v>
      </c>
      <c r="T20" s="6">
        <v>22.55</v>
      </c>
      <c r="U20" s="17">
        <v>9</v>
      </c>
      <c r="V20" s="6">
        <v>4.77</v>
      </c>
      <c r="W20" s="17">
        <v>0</v>
      </c>
      <c r="X20" s="6">
        <v>3.59</v>
      </c>
      <c r="Y20" s="17">
        <v>0</v>
      </c>
      <c r="Z20" s="6">
        <v>3.59</v>
      </c>
      <c r="AA20">
        <f t="shared" si="0"/>
        <v>1495</v>
      </c>
      <c r="AB20" s="18">
        <f t="shared" si="1"/>
        <v>237.57000000000002</v>
      </c>
    </row>
    <row r="21" spans="1:28" ht="12.75">
      <c r="A21" s="6" t="s">
        <v>9</v>
      </c>
      <c r="B21">
        <v>2277</v>
      </c>
      <c r="C21" s="3">
        <v>310.64</v>
      </c>
      <c r="D21">
        <v>2176</v>
      </c>
      <c r="E21" s="6">
        <v>320.49</v>
      </c>
      <c r="F21" s="17">
        <v>1932</v>
      </c>
      <c r="G21" s="6">
        <v>277.89</v>
      </c>
      <c r="H21" s="17">
        <v>2066</v>
      </c>
      <c r="I21" s="6">
        <v>316.92</v>
      </c>
      <c r="J21" s="17">
        <v>1937</v>
      </c>
      <c r="K21" s="6">
        <v>304.67</v>
      </c>
      <c r="M21" s="28">
        <v>3205</v>
      </c>
      <c r="N21" s="6">
        <v>431.88</v>
      </c>
      <c r="O21" s="17">
        <v>2482</v>
      </c>
      <c r="P21" s="6">
        <v>357.27</v>
      </c>
      <c r="Q21" s="17">
        <v>2269</v>
      </c>
      <c r="R21" s="6">
        <v>319.35</v>
      </c>
      <c r="S21" s="17">
        <v>2210</v>
      </c>
      <c r="T21" s="6">
        <v>313.76</v>
      </c>
      <c r="U21" s="17">
        <v>2141</v>
      </c>
      <c r="V21" s="6">
        <v>338.74</v>
      </c>
      <c r="W21" s="17">
        <v>1521</v>
      </c>
      <c r="X21" s="6">
        <v>251.4</v>
      </c>
      <c r="Y21" s="17">
        <v>1241</v>
      </c>
      <c r="Z21" s="6">
        <v>226.22</v>
      </c>
      <c r="AA21">
        <f t="shared" si="0"/>
        <v>25457</v>
      </c>
      <c r="AB21" s="18">
        <f t="shared" si="1"/>
        <v>3769.2299999999996</v>
      </c>
    </row>
    <row r="22" spans="1:28" ht="12.75">
      <c r="A22" s="6" t="s">
        <v>10</v>
      </c>
      <c r="B22">
        <v>13714</v>
      </c>
      <c r="C22" s="3">
        <v>1600.65</v>
      </c>
      <c r="D22">
        <v>13221</v>
      </c>
      <c r="E22" s="6">
        <v>1519.56</v>
      </c>
      <c r="F22" s="17">
        <v>10999</v>
      </c>
      <c r="G22" s="6">
        <v>1315.53</v>
      </c>
      <c r="H22" s="17">
        <v>11590</v>
      </c>
      <c r="I22" s="6">
        <v>1339.13</v>
      </c>
      <c r="J22" s="17">
        <v>10354</v>
      </c>
      <c r="K22" s="6">
        <v>1219.18</v>
      </c>
      <c r="M22" s="28">
        <v>11229</v>
      </c>
      <c r="N22" s="6">
        <v>1300.9</v>
      </c>
      <c r="O22" s="17">
        <v>10922</v>
      </c>
      <c r="P22" s="6">
        <v>1276.11</v>
      </c>
      <c r="Q22" s="17">
        <v>12327</v>
      </c>
      <c r="R22" s="6">
        <v>1405.31</v>
      </c>
      <c r="S22" s="17">
        <v>11886</v>
      </c>
      <c r="T22" s="6">
        <v>1363.47</v>
      </c>
      <c r="U22" s="17">
        <v>12914</v>
      </c>
      <c r="V22" s="6">
        <v>1465.19</v>
      </c>
      <c r="W22" s="17">
        <v>13914</v>
      </c>
      <c r="X22" s="6">
        <v>1564.24</v>
      </c>
      <c r="Y22" s="17">
        <v>48724</v>
      </c>
      <c r="Z22" s="6">
        <v>4868.01</v>
      </c>
      <c r="AA22">
        <f t="shared" si="0"/>
        <v>181794</v>
      </c>
      <c r="AB22" s="18">
        <f t="shared" si="1"/>
        <v>20237.28</v>
      </c>
    </row>
    <row r="23" spans="1:28" ht="12.75">
      <c r="A23" s="6" t="s">
        <v>54</v>
      </c>
      <c r="B23">
        <v>2120</v>
      </c>
      <c r="C23" s="3">
        <v>1422.37</v>
      </c>
      <c r="D23">
        <v>2560</v>
      </c>
      <c r="E23" s="6">
        <v>1466.76</v>
      </c>
      <c r="F23" s="17">
        <v>1640</v>
      </c>
      <c r="G23" s="6">
        <v>1378.12</v>
      </c>
      <c r="H23" s="17">
        <v>920</v>
      </c>
      <c r="I23" s="6">
        <v>1153.54</v>
      </c>
      <c r="J23" s="17">
        <v>840</v>
      </c>
      <c r="K23" s="6">
        <v>1145.97</v>
      </c>
      <c r="M23" s="28">
        <v>840</v>
      </c>
      <c r="N23" s="6">
        <v>1145.97</v>
      </c>
      <c r="O23" s="17">
        <v>2080</v>
      </c>
      <c r="P23" s="6">
        <v>1490.66</v>
      </c>
      <c r="Q23" s="17">
        <v>4000</v>
      </c>
      <c r="R23" s="6">
        <v>1980.99</v>
      </c>
      <c r="S23" s="17">
        <v>3800</v>
      </c>
      <c r="T23" s="6">
        <v>1968.93</v>
      </c>
      <c r="U23" s="17">
        <v>3400</v>
      </c>
      <c r="V23" s="6">
        <v>1958.63</v>
      </c>
      <c r="W23" s="17">
        <v>4600</v>
      </c>
      <c r="X23" s="6">
        <v>1668.41</v>
      </c>
      <c r="Y23" s="17">
        <v>2240</v>
      </c>
      <c r="Z23" s="6">
        <v>1335.15</v>
      </c>
      <c r="AA23">
        <f t="shared" si="0"/>
        <v>29040</v>
      </c>
      <c r="AB23" s="18">
        <f t="shared" si="1"/>
        <v>18115.500000000004</v>
      </c>
    </row>
    <row r="24" spans="1:28" ht="12.75">
      <c r="A24" s="6" t="s">
        <v>12</v>
      </c>
      <c r="B24">
        <v>87000</v>
      </c>
      <c r="C24" s="3">
        <v>11424.31</v>
      </c>
      <c r="D24">
        <v>84400</v>
      </c>
      <c r="E24" s="6">
        <v>11143.14</v>
      </c>
      <c r="F24" s="17">
        <v>53600</v>
      </c>
      <c r="G24" s="6">
        <v>8137.83</v>
      </c>
      <c r="H24" s="17">
        <v>67000</v>
      </c>
      <c r="I24" s="6">
        <v>9669.14</v>
      </c>
      <c r="J24" s="17">
        <v>86800</v>
      </c>
      <c r="K24" s="6">
        <v>11711.06</v>
      </c>
      <c r="M24" s="28">
        <v>114600</v>
      </c>
      <c r="N24" s="6">
        <v>14794.44</v>
      </c>
      <c r="O24" s="17">
        <v>84600</v>
      </c>
      <c r="P24" s="6">
        <v>11589.55</v>
      </c>
      <c r="Q24" s="17">
        <v>50200</v>
      </c>
      <c r="R24" s="6">
        <v>7868.23</v>
      </c>
      <c r="S24" s="17">
        <v>55200</v>
      </c>
      <c r="T24" s="6">
        <v>8093.1</v>
      </c>
      <c r="U24" s="17">
        <v>65600</v>
      </c>
      <c r="V24" s="6">
        <v>9156.2</v>
      </c>
      <c r="W24" s="17">
        <v>52200</v>
      </c>
      <c r="X24" s="6">
        <v>7620.2</v>
      </c>
      <c r="Y24" s="17">
        <v>53200</v>
      </c>
      <c r="Z24" s="6">
        <v>7681.67</v>
      </c>
      <c r="AA24">
        <f t="shared" si="0"/>
        <v>854400</v>
      </c>
      <c r="AB24" s="18">
        <f t="shared" si="1"/>
        <v>118888.87</v>
      </c>
    </row>
    <row r="25" spans="1:28" ht="12.75">
      <c r="A25" s="6" t="s">
        <v>13</v>
      </c>
      <c r="B25">
        <v>2478</v>
      </c>
      <c r="C25" s="3">
        <v>636.25</v>
      </c>
      <c r="D25">
        <v>663</v>
      </c>
      <c r="E25" s="6">
        <v>368.4</v>
      </c>
      <c r="F25" s="17">
        <v>1558</v>
      </c>
      <c r="G25" s="6">
        <v>666.29</v>
      </c>
      <c r="H25" s="17">
        <v>490</v>
      </c>
      <c r="I25" s="6">
        <v>443.14</v>
      </c>
      <c r="J25" s="17">
        <v>163</v>
      </c>
      <c r="K25" s="6">
        <v>384.29</v>
      </c>
      <c r="M25" s="28">
        <v>893</v>
      </c>
      <c r="N25" s="6">
        <v>493.3</v>
      </c>
      <c r="O25" s="17">
        <v>1099</v>
      </c>
      <c r="P25" s="6">
        <v>517.25</v>
      </c>
      <c r="Q25" s="17">
        <v>1650</v>
      </c>
      <c r="R25" s="6">
        <v>582.55</v>
      </c>
      <c r="S25" s="17">
        <v>397</v>
      </c>
      <c r="T25" s="6">
        <v>449.24</v>
      </c>
      <c r="U25" s="17">
        <v>248</v>
      </c>
      <c r="V25" s="6">
        <v>394.99</v>
      </c>
      <c r="W25" s="17">
        <v>2319</v>
      </c>
      <c r="X25" s="6">
        <v>591.54</v>
      </c>
      <c r="Y25" s="17">
        <v>1280</v>
      </c>
      <c r="Z25" s="6">
        <v>492.94</v>
      </c>
      <c r="AA25">
        <f t="shared" si="0"/>
        <v>13238</v>
      </c>
      <c r="AB25" s="18">
        <f t="shared" si="1"/>
        <v>6020.179999999999</v>
      </c>
    </row>
    <row r="26" spans="1:28" ht="12.75">
      <c r="A26" s="6" t="s">
        <v>14</v>
      </c>
      <c r="B26">
        <v>74400</v>
      </c>
      <c r="C26" s="3">
        <v>8340.55</v>
      </c>
      <c r="D26">
        <v>55200</v>
      </c>
      <c r="E26" s="6">
        <v>6490.88</v>
      </c>
      <c r="F26" s="17">
        <v>55200</v>
      </c>
      <c r="G26" s="6">
        <v>6463.45</v>
      </c>
      <c r="H26" s="17">
        <v>38800</v>
      </c>
      <c r="I26" s="6">
        <v>5153.74</v>
      </c>
      <c r="J26" s="17">
        <v>35200</v>
      </c>
      <c r="K26" s="6">
        <v>4554.7</v>
      </c>
      <c r="M26" s="28">
        <v>38400</v>
      </c>
      <c r="N26" s="6">
        <v>4978.18</v>
      </c>
      <c r="O26" s="17">
        <v>46400</v>
      </c>
      <c r="P26" s="6">
        <v>6134.11</v>
      </c>
      <c r="Q26" s="17">
        <v>44800</v>
      </c>
      <c r="R26" s="6">
        <v>5093.2</v>
      </c>
      <c r="S26" s="17">
        <v>36800</v>
      </c>
      <c r="T26" s="6">
        <v>5611.54</v>
      </c>
      <c r="U26" s="17">
        <v>52800</v>
      </c>
      <c r="V26" s="6">
        <v>6512.45</v>
      </c>
      <c r="W26" s="17">
        <v>18800</v>
      </c>
      <c r="X26" s="6">
        <v>3489.7</v>
      </c>
      <c r="Y26" s="17">
        <v>28400</v>
      </c>
      <c r="Z26" s="6">
        <v>4002.82</v>
      </c>
      <c r="AA26">
        <f t="shared" si="0"/>
        <v>525200</v>
      </c>
      <c r="AB26" s="18">
        <f t="shared" si="1"/>
        <v>66825.31999999999</v>
      </c>
    </row>
    <row r="27" spans="1:28" ht="12.75">
      <c r="A27" s="6" t="s">
        <v>15</v>
      </c>
      <c r="B27">
        <v>143</v>
      </c>
      <c r="C27" s="3">
        <v>22.2</v>
      </c>
      <c r="D27">
        <v>690</v>
      </c>
      <c r="E27" s="6">
        <v>93.57</v>
      </c>
      <c r="F27" s="17">
        <v>1040</v>
      </c>
      <c r="G27" s="6">
        <v>139.2</v>
      </c>
      <c r="H27" s="17">
        <v>3620</v>
      </c>
      <c r="I27" s="6">
        <v>475.62</v>
      </c>
      <c r="J27" s="17">
        <v>3313</v>
      </c>
      <c r="K27" s="6">
        <v>435.58</v>
      </c>
      <c r="M27" s="28">
        <v>1232</v>
      </c>
      <c r="N27" s="6">
        <v>164.23</v>
      </c>
      <c r="O27" s="17">
        <v>2000</v>
      </c>
      <c r="P27" s="6">
        <v>266.61</v>
      </c>
      <c r="Q27" s="17">
        <v>-1268</v>
      </c>
      <c r="R27" s="6">
        <v>-164.41</v>
      </c>
      <c r="S27" s="17">
        <v>229</v>
      </c>
      <c r="T27" s="6">
        <v>33.3</v>
      </c>
      <c r="U27" s="17">
        <v>237</v>
      </c>
      <c r="V27" s="6">
        <v>34.34</v>
      </c>
      <c r="W27" s="17">
        <v>266</v>
      </c>
      <c r="X27" s="6">
        <v>38.11</v>
      </c>
      <c r="Y27" s="17">
        <v>254</v>
      </c>
      <c r="Z27" s="6">
        <v>36.56</v>
      </c>
      <c r="AA27">
        <f t="shared" si="0"/>
        <v>11756</v>
      </c>
      <c r="AB27" s="18">
        <f t="shared" si="1"/>
        <v>1574.9099999999994</v>
      </c>
    </row>
    <row r="28" spans="1:28" ht="12.75">
      <c r="A28" s="6" t="s">
        <v>15</v>
      </c>
      <c r="B28">
        <v>50</v>
      </c>
      <c r="C28" s="3">
        <v>12.67</v>
      </c>
      <c r="D28">
        <v>50</v>
      </c>
      <c r="E28" s="6">
        <v>12.67</v>
      </c>
      <c r="F28" s="17">
        <v>50</v>
      </c>
      <c r="G28" s="6">
        <v>12.67</v>
      </c>
      <c r="H28" s="17">
        <v>50</v>
      </c>
      <c r="I28" s="6">
        <v>12.67</v>
      </c>
      <c r="J28" s="17">
        <v>50</v>
      </c>
      <c r="K28" s="6">
        <v>12.67</v>
      </c>
      <c r="M28" s="28">
        <v>50</v>
      </c>
      <c r="N28" s="6">
        <v>12.67</v>
      </c>
      <c r="O28" s="17">
        <v>50</v>
      </c>
      <c r="P28" s="6">
        <v>12.67</v>
      </c>
      <c r="Q28" s="17">
        <v>50</v>
      </c>
      <c r="R28" s="6">
        <v>12.67</v>
      </c>
      <c r="S28" s="17">
        <v>50</v>
      </c>
      <c r="T28" s="6">
        <v>12.67</v>
      </c>
      <c r="U28" s="17">
        <v>50</v>
      </c>
      <c r="V28" s="6">
        <v>12.67</v>
      </c>
      <c r="W28" s="17">
        <v>50</v>
      </c>
      <c r="X28" s="6">
        <v>12.67</v>
      </c>
      <c r="Y28" s="17">
        <v>50</v>
      </c>
      <c r="Z28" s="6">
        <v>12.67</v>
      </c>
      <c r="AA28">
        <f t="shared" si="0"/>
        <v>600</v>
      </c>
      <c r="AB28" s="18">
        <f t="shared" si="1"/>
        <v>152.04</v>
      </c>
    </row>
    <row r="29" spans="1:28" ht="12.75">
      <c r="A29" s="6" t="s">
        <v>16</v>
      </c>
      <c r="B29">
        <v>1859</v>
      </c>
      <c r="C29" s="3">
        <v>246.58</v>
      </c>
      <c r="D29">
        <v>831</v>
      </c>
      <c r="E29" s="6">
        <v>110.23</v>
      </c>
      <c r="F29" s="17">
        <v>656</v>
      </c>
      <c r="G29" s="6">
        <v>87.01</v>
      </c>
      <c r="H29" s="17">
        <v>665</v>
      </c>
      <c r="I29" s="6">
        <v>88.22</v>
      </c>
      <c r="J29" s="17">
        <v>546</v>
      </c>
      <c r="K29" s="6">
        <v>72.42</v>
      </c>
      <c r="M29" s="28">
        <v>2436</v>
      </c>
      <c r="N29" s="6">
        <v>323.11</v>
      </c>
      <c r="O29" s="17">
        <v>3502</v>
      </c>
      <c r="P29" s="6">
        <v>464.51</v>
      </c>
      <c r="Q29" s="17">
        <v>1861</v>
      </c>
      <c r="R29" s="6">
        <v>246.87</v>
      </c>
      <c r="S29" s="17">
        <v>1919</v>
      </c>
      <c r="T29" s="6">
        <v>254.55</v>
      </c>
      <c r="U29" s="17">
        <v>693</v>
      </c>
      <c r="V29" s="6">
        <v>91.93</v>
      </c>
      <c r="W29" s="17">
        <v>618</v>
      </c>
      <c r="X29" s="6">
        <v>81.96</v>
      </c>
      <c r="Y29" s="17">
        <v>645</v>
      </c>
      <c r="Z29" s="6">
        <v>85.58</v>
      </c>
      <c r="AA29">
        <f t="shared" si="0"/>
        <v>16231</v>
      </c>
      <c r="AB29" s="18">
        <f t="shared" si="1"/>
        <v>2152.97</v>
      </c>
    </row>
    <row r="30" spans="1:28" ht="12.75">
      <c r="A30" s="6" t="s">
        <v>17</v>
      </c>
      <c r="B30">
        <v>16440</v>
      </c>
      <c r="C30" s="3">
        <v>1907.34</v>
      </c>
      <c r="D30">
        <v>14840</v>
      </c>
      <c r="E30" s="6">
        <v>1721.22</v>
      </c>
      <c r="F30" s="17">
        <v>9080</v>
      </c>
      <c r="G30" s="6">
        <v>1174.56</v>
      </c>
      <c r="H30" s="17">
        <v>7600</v>
      </c>
      <c r="I30" s="6">
        <v>992.74</v>
      </c>
      <c r="J30" s="17">
        <v>4400</v>
      </c>
      <c r="K30" s="6">
        <v>675.82</v>
      </c>
      <c r="M30" s="28">
        <v>6440</v>
      </c>
      <c r="N30" s="6">
        <v>870.73</v>
      </c>
      <c r="O30" s="17">
        <v>6680</v>
      </c>
      <c r="P30" s="6">
        <v>900.37</v>
      </c>
      <c r="Q30" s="17">
        <v>7280</v>
      </c>
      <c r="R30" s="6">
        <v>962.84</v>
      </c>
      <c r="S30" s="17">
        <v>7200</v>
      </c>
      <c r="T30" s="6">
        <v>959.4</v>
      </c>
      <c r="U30" s="17">
        <v>9960</v>
      </c>
      <c r="V30" s="6">
        <v>1221.33</v>
      </c>
      <c r="W30" s="17">
        <v>10920</v>
      </c>
      <c r="X30" s="6">
        <v>1311.05</v>
      </c>
      <c r="Y30" s="17">
        <v>11120</v>
      </c>
      <c r="Z30" s="6">
        <v>1363.79</v>
      </c>
      <c r="AA30">
        <f t="shared" si="0"/>
        <v>111960</v>
      </c>
      <c r="AB30" s="18">
        <f t="shared" si="1"/>
        <v>14061.189999999999</v>
      </c>
    </row>
    <row r="31" spans="1:28" ht="12.75">
      <c r="A31" s="6" t="s">
        <v>76</v>
      </c>
      <c r="F31" s="17"/>
      <c r="H31" s="17"/>
      <c r="J31" s="17"/>
      <c r="M31" s="28"/>
      <c r="N31" s="6">
        <v>70.61</v>
      </c>
      <c r="O31" s="17">
        <v>1</v>
      </c>
      <c r="P31" s="6">
        <v>79.45</v>
      </c>
      <c r="Q31" s="17">
        <v>0</v>
      </c>
      <c r="R31" s="6">
        <v>22.37</v>
      </c>
      <c r="S31" s="17">
        <v>0</v>
      </c>
      <c r="T31" s="6">
        <v>22.41</v>
      </c>
      <c r="U31" s="17">
        <v>5</v>
      </c>
      <c r="V31" s="6">
        <v>22.9</v>
      </c>
      <c r="W31" s="17">
        <v>0</v>
      </c>
      <c r="X31" s="6">
        <v>22.42</v>
      </c>
      <c r="Y31" s="17">
        <v>55</v>
      </c>
      <c r="Z31" s="6">
        <v>27.62</v>
      </c>
      <c r="AA31">
        <f t="shared" si="0"/>
        <v>61</v>
      </c>
      <c r="AB31" s="18">
        <f t="shared" si="1"/>
        <v>267.78000000000003</v>
      </c>
    </row>
    <row r="32" spans="1:28" ht="12.75">
      <c r="A32" s="6" t="s">
        <v>18</v>
      </c>
      <c r="B32">
        <v>2962</v>
      </c>
      <c r="C32" s="3">
        <v>390.68</v>
      </c>
      <c r="D32">
        <v>3406</v>
      </c>
      <c r="E32" s="6">
        <v>434.16</v>
      </c>
      <c r="F32" s="17">
        <v>2680</v>
      </c>
      <c r="G32" s="6">
        <v>369.22</v>
      </c>
      <c r="H32" s="17">
        <v>2130</v>
      </c>
      <c r="I32" s="6">
        <v>317.04</v>
      </c>
      <c r="J32" s="17">
        <v>2309</v>
      </c>
      <c r="K32" s="6">
        <v>330.02</v>
      </c>
      <c r="M32" s="28">
        <v>2648</v>
      </c>
      <c r="N32" s="6">
        <v>372.15</v>
      </c>
      <c r="O32" s="17">
        <v>2297</v>
      </c>
      <c r="P32" s="6">
        <v>325.91</v>
      </c>
      <c r="Q32" s="17">
        <v>2226</v>
      </c>
      <c r="R32" s="6">
        <v>309.48</v>
      </c>
      <c r="S32" s="17">
        <v>2068</v>
      </c>
      <c r="T32" s="6">
        <v>294.48</v>
      </c>
      <c r="U32" s="17">
        <v>2861</v>
      </c>
      <c r="V32" s="6">
        <v>371.13</v>
      </c>
      <c r="W32" s="17">
        <v>2843</v>
      </c>
      <c r="X32" s="6">
        <v>370.79</v>
      </c>
      <c r="Y32" s="17">
        <v>3370</v>
      </c>
      <c r="Z32" s="6">
        <v>420.8</v>
      </c>
      <c r="AA32">
        <f t="shared" si="0"/>
        <v>31800</v>
      </c>
      <c r="AB32" s="18">
        <f t="shared" si="1"/>
        <v>4305.86</v>
      </c>
    </row>
    <row r="33" spans="1:28" ht="12.75">
      <c r="A33" s="6" t="s">
        <v>19</v>
      </c>
      <c r="B33">
        <v>12640</v>
      </c>
      <c r="C33" s="3">
        <v>1532.99</v>
      </c>
      <c r="D33">
        <v>13040</v>
      </c>
      <c r="E33" s="6">
        <v>1536.69</v>
      </c>
      <c r="F33" s="17">
        <v>8720</v>
      </c>
      <c r="G33" s="6">
        <v>1106.09</v>
      </c>
      <c r="H33" s="17">
        <v>8560</v>
      </c>
      <c r="I33" s="6">
        <v>1084.07</v>
      </c>
      <c r="J33" s="17">
        <v>7360</v>
      </c>
      <c r="K33" s="6">
        <v>965.1</v>
      </c>
      <c r="M33" s="28">
        <v>8880</v>
      </c>
      <c r="N33" s="6">
        <v>1104.06</v>
      </c>
      <c r="O33" s="17">
        <v>8760</v>
      </c>
      <c r="P33" s="6">
        <v>1094.44</v>
      </c>
      <c r="Q33" s="17">
        <v>7280</v>
      </c>
      <c r="R33" s="6">
        <v>971.69</v>
      </c>
      <c r="S33" s="17">
        <v>9040</v>
      </c>
      <c r="T33" s="6">
        <v>1152.54</v>
      </c>
      <c r="U33" s="17">
        <v>9480</v>
      </c>
      <c r="V33" s="6">
        <v>1169.68</v>
      </c>
      <c r="W33" s="17">
        <v>8960</v>
      </c>
      <c r="X33" s="6">
        <v>1100.97</v>
      </c>
      <c r="Y33" s="17">
        <v>9840</v>
      </c>
      <c r="Z33" s="6">
        <v>1195.56</v>
      </c>
      <c r="AA33">
        <f t="shared" si="0"/>
        <v>112560</v>
      </c>
      <c r="AB33" s="18">
        <f t="shared" si="1"/>
        <v>14013.880000000001</v>
      </c>
    </row>
    <row r="34" spans="1:28" ht="12.75">
      <c r="A34" s="6" t="s">
        <v>20</v>
      </c>
      <c r="B34">
        <v>240</v>
      </c>
      <c r="C34" s="3">
        <v>211.58</v>
      </c>
      <c r="D34">
        <v>560</v>
      </c>
      <c r="E34" s="6">
        <v>245.92</v>
      </c>
      <c r="F34" s="17">
        <v>240</v>
      </c>
      <c r="G34" s="6">
        <v>214.23</v>
      </c>
      <c r="H34" s="17">
        <v>240</v>
      </c>
      <c r="I34" s="6">
        <v>210.35</v>
      </c>
      <c r="J34" s="17">
        <v>200</v>
      </c>
      <c r="K34" s="6">
        <v>206.55</v>
      </c>
      <c r="M34" s="28">
        <v>240</v>
      </c>
      <c r="N34" s="6">
        <v>210.35</v>
      </c>
      <c r="O34" s="17">
        <v>600</v>
      </c>
      <c r="P34" s="6">
        <v>316.93</v>
      </c>
      <c r="Q34" s="17">
        <v>920</v>
      </c>
      <c r="R34" s="6">
        <v>306.66</v>
      </c>
      <c r="S34" s="17">
        <v>760</v>
      </c>
      <c r="T34" s="6">
        <v>373.62</v>
      </c>
      <c r="U34" s="17">
        <v>600</v>
      </c>
      <c r="V34" s="6">
        <v>323.85</v>
      </c>
      <c r="W34" s="17">
        <v>840</v>
      </c>
      <c r="X34" s="6">
        <v>339.74</v>
      </c>
      <c r="Y34" s="17">
        <v>440</v>
      </c>
      <c r="Z34" s="6">
        <v>243.96</v>
      </c>
      <c r="AA34">
        <f t="shared" si="0"/>
        <v>5880</v>
      </c>
      <c r="AB34" s="18">
        <f t="shared" si="1"/>
        <v>3203.74</v>
      </c>
    </row>
    <row r="35" spans="1:28" s="9" customFormat="1" ht="12.75">
      <c r="A35" s="8" t="s">
        <v>21</v>
      </c>
      <c r="B35" s="9">
        <v>2326</v>
      </c>
      <c r="C35" s="10">
        <v>329.03</v>
      </c>
      <c r="D35" s="9">
        <v>1414</v>
      </c>
      <c r="E35" s="8">
        <v>242.46</v>
      </c>
      <c r="F35" s="9">
        <v>859</v>
      </c>
      <c r="G35" s="8">
        <v>195.07</v>
      </c>
      <c r="H35" s="9">
        <v>1798</v>
      </c>
      <c r="I35" s="8">
        <v>298.36</v>
      </c>
      <c r="J35" s="9">
        <v>2698</v>
      </c>
      <c r="K35" s="8">
        <v>370.93</v>
      </c>
      <c r="M35" s="9">
        <v>2825</v>
      </c>
      <c r="N35" s="8">
        <v>402.65</v>
      </c>
      <c r="O35" s="9">
        <v>2200</v>
      </c>
      <c r="P35" s="8">
        <v>337.45</v>
      </c>
      <c r="Q35" s="9">
        <v>757</v>
      </c>
      <c r="R35" s="8">
        <v>207.4</v>
      </c>
      <c r="S35" s="9">
        <v>878</v>
      </c>
      <c r="T35" s="8">
        <v>198.14</v>
      </c>
      <c r="U35" s="9">
        <v>1607</v>
      </c>
      <c r="V35" s="10">
        <v>256.8</v>
      </c>
      <c r="W35" s="9">
        <v>1704</v>
      </c>
      <c r="X35" s="8">
        <v>266.01</v>
      </c>
      <c r="Y35" s="9">
        <v>1735</v>
      </c>
      <c r="Z35" s="8">
        <v>267.56</v>
      </c>
      <c r="AA35">
        <f t="shared" si="0"/>
        <v>20801</v>
      </c>
      <c r="AB35" s="18">
        <f t="shared" si="1"/>
        <v>3371.86</v>
      </c>
    </row>
    <row r="36" spans="17:28" ht="12.75">
      <c r="Q36" s="17"/>
      <c r="AA36" s="34"/>
      <c r="AB36" s="35"/>
    </row>
    <row r="37" spans="1:28" s="9" customFormat="1" ht="12.75">
      <c r="A37" s="8"/>
      <c r="B37" s="9">
        <f>SUM(B5:B35)</f>
        <v>649901</v>
      </c>
      <c r="C37" s="10">
        <f>SUM(C5:C35)</f>
        <v>80546.17000000001</v>
      </c>
      <c r="D37" s="9">
        <f>SUM(D4:D36)</f>
        <v>571136</v>
      </c>
      <c r="E37" s="8">
        <f>SUM(E5:E35)</f>
        <v>71989.67000000001</v>
      </c>
      <c r="F37" s="9">
        <f>SUM(F4:F36)</f>
        <v>406423</v>
      </c>
      <c r="G37" s="8">
        <f>SUM(G5:G35)</f>
        <v>55372.45</v>
      </c>
      <c r="H37" s="8">
        <f>SUM(H5:H35)</f>
        <v>378118</v>
      </c>
      <c r="I37" s="8">
        <f>SUM(I5:I35)</f>
        <v>52808.62</v>
      </c>
      <c r="J37" s="9">
        <f>SUM(J4:J36)</f>
        <v>373371</v>
      </c>
      <c r="K37" s="8">
        <f>SUM(K5:K36)</f>
        <v>52000.78999999999</v>
      </c>
      <c r="M37" s="9">
        <f>SUM(M5:M36)</f>
        <v>455341</v>
      </c>
      <c r="N37" s="8">
        <f>SUM(N5:N36)</f>
        <v>60834.76000000002</v>
      </c>
      <c r="O37" s="9">
        <f>SUM(O5:O36)</f>
        <v>412622</v>
      </c>
      <c r="P37" s="8">
        <f>SUM(P1:P36)</f>
        <v>57173.50000000001</v>
      </c>
      <c r="Q37" s="9">
        <f>SUM(Q5:Q36)</f>
        <v>345275</v>
      </c>
      <c r="R37" s="8">
        <f>SUM(R5:R36)</f>
        <v>49722.30000000002</v>
      </c>
      <c r="S37" s="9">
        <f>SUM(S5:S36)</f>
        <v>386503</v>
      </c>
      <c r="T37" s="10">
        <f>SUM(T5:T36)</f>
        <v>54963.59000000002</v>
      </c>
      <c r="U37" s="9">
        <f>SUM(U1:U36)</f>
        <v>460372</v>
      </c>
      <c r="V37" s="10">
        <f>SUM(V1:V36)</f>
        <v>61439.249999999985</v>
      </c>
      <c r="W37" s="32">
        <f>SUM(W5:W36)</f>
        <v>372281</v>
      </c>
      <c r="X37" s="8">
        <f>SUM(X5:X36)</f>
        <v>51399.869999999995</v>
      </c>
      <c r="Y37" s="9">
        <f>SUM(Y5:Y36)</f>
        <v>453214</v>
      </c>
      <c r="Z37" s="8">
        <f>SUM(Z5:Z36)</f>
        <v>59139.200000000004</v>
      </c>
      <c r="AA37" s="33">
        <f>SUM(AA4:AA35)</f>
        <v>5264557</v>
      </c>
      <c r="AB37" s="29">
        <f>SUM(AB5:AB35)</f>
        <v>707390.17</v>
      </c>
    </row>
  </sheetData>
  <sheetProtection/>
  <printOptions/>
  <pageMargins left="0.75" right="0.75" top="1" bottom="1"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AH65536"/>
  <sheetViews>
    <sheetView zoomScale="89" zoomScaleNormal="89" zoomScalePageLayoutView="0" workbookViewId="0" topLeftCell="S1">
      <selection activeCell="U18" sqref="U18"/>
    </sheetView>
  </sheetViews>
  <sheetFormatPr defaultColWidth="9.140625" defaultRowHeight="12.75"/>
  <cols>
    <col min="1" max="1" width="20.00390625" style="6" customWidth="1"/>
    <col min="2" max="2" width="20.00390625" style="50" customWidth="1"/>
    <col min="3" max="3" width="26.421875" style="38" customWidth="1"/>
    <col min="4" max="4" width="8.421875" style="0" customWidth="1"/>
    <col min="5" max="5" width="9.7109375" style="3" customWidth="1"/>
    <col min="6" max="6" width="8.57421875" style="0" customWidth="1"/>
    <col min="7" max="7" width="9.57421875" style="6" customWidth="1"/>
    <col min="8" max="8" width="8.7109375" style="0" customWidth="1"/>
    <col min="9" max="9" width="9.421875" style="6" customWidth="1"/>
    <col min="10" max="10" width="9.57421875" style="0" customWidth="1"/>
    <col min="11" max="11" width="9.140625" style="6" customWidth="1"/>
    <col min="12" max="12" width="7.57421875" style="0" customWidth="1"/>
    <col min="13" max="13" width="9.140625" style="6" customWidth="1"/>
    <col min="14" max="14" width="0" style="38" hidden="1" customWidth="1"/>
    <col min="15" max="15" width="8.57421875" style="0" customWidth="1"/>
    <col min="16" max="16" width="9.140625" style="6" customWidth="1"/>
    <col min="17" max="17" width="10.421875" style="0" customWidth="1"/>
    <col min="18" max="18" width="10.7109375" style="6" customWidth="1"/>
    <col min="19" max="19" width="8.8515625" style="0" customWidth="1"/>
    <col min="20" max="20" width="10.8515625" style="6" customWidth="1"/>
    <col min="21" max="21" width="11.140625" style="0" customWidth="1"/>
    <col min="22" max="22" width="9.140625" style="6" customWidth="1"/>
    <col min="23" max="23" width="9.421875" style="0" customWidth="1"/>
    <col min="24" max="24" width="11.00390625" style="6" customWidth="1"/>
    <col min="25" max="25" width="11.8515625" style="0" customWidth="1"/>
    <col min="26" max="26" width="10.421875" style="6" customWidth="1"/>
    <col min="27" max="27" width="8.7109375" style="0" customWidth="1"/>
    <col min="28" max="28" width="9.7109375" style="6" customWidth="1"/>
    <col min="30" max="30" width="12.00390625" style="0" customWidth="1"/>
  </cols>
  <sheetData>
    <row r="1" spans="1:28" s="1" customFormat="1" ht="12.75">
      <c r="A1" s="4"/>
      <c r="B1" s="46"/>
      <c r="C1" s="39"/>
      <c r="E1" s="2"/>
      <c r="G1" s="4"/>
      <c r="I1" s="4"/>
      <c r="K1" s="4"/>
      <c r="M1" s="4"/>
      <c r="N1" s="39"/>
      <c r="P1" s="4"/>
      <c r="R1" s="4"/>
      <c r="T1" s="4"/>
      <c r="V1" s="4"/>
      <c r="X1" s="4"/>
      <c r="Z1" s="4"/>
      <c r="AB1" s="4"/>
    </row>
    <row r="2" spans="1:29" s="12" customFormat="1" ht="12.75">
      <c r="A2" s="11"/>
      <c r="B2" s="47"/>
      <c r="D2" s="221" t="s">
        <v>77</v>
      </c>
      <c r="E2" s="218"/>
      <c r="F2" s="217" t="s">
        <v>78</v>
      </c>
      <c r="G2" s="218"/>
      <c r="H2" s="217" t="s">
        <v>79</v>
      </c>
      <c r="I2" s="218"/>
      <c r="J2" s="222" t="s">
        <v>80</v>
      </c>
      <c r="K2" s="223"/>
      <c r="L2" s="219" t="s">
        <v>147</v>
      </c>
      <c r="M2" s="224"/>
      <c r="O2" s="221" t="s">
        <v>81</v>
      </c>
      <c r="P2" s="218"/>
      <c r="Q2" s="217" t="s">
        <v>82</v>
      </c>
      <c r="R2" s="218"/>
      <c r="S2" s="217" t="s">
        <v>83</v>
      </c>
      <c r="T2" s="218"/>
      <c r="U2" s="217" t="s">
        <v>84</v>
      </c>
      <c r="V2" s="218"/>
      <c r="W2" s="219" t="s">
        <v>146</v>
      </c>
      <c r="X2" s="220"/>
      <c r="Y2" s="221" t="s">
        <v>85</v>
      </c>
      <c r="Z2" s="218"/>
      <c r="AA2" s="217" t="s">
        <v>86</v>
      </c>
      <c r="AB2" s="218"/>
      <c r="AC2" s="12" t="s">
        <v>37</v>
      </c>
    </row>
    <row r="3" spans="1:30" s="15" customFormat="1" ht="12.75">
      <c r="A3" s="14" t="s">
        <v>0</v>
      </c>
      <c r="B3" s="48"/>
      <c r="C3" s="15" t="s">
        <v>87</v>
      </c>
      <c r="D3" s="15" t="s">
        <v>35</v>
      </c>
      <c r="E3" s="16" t="s">
        <v>36</v>
      </c>
      <c r="F3" s="15" t="s">
        <v>35</v>
      </c>
      <c r="G3" s="14" t="s">
        <v>36</v>
      </c>
      <c r="H3" s="15" t="s">
        <v>35</v>
      </c>
      <c r="I3" s="16" t="s">
        <v>36</v>
      </c>
      <c r="J3" s="15" t="s">
        <v>35</v>
      </c>
      <c r="K3" s="16" t="s">
        <v>36</v>
      </c>
      <c r="L3" s="15" t="s">
        <v>35</v>
      </c>
      <c r="M3" s="16" t="s">
        <v>36</v>
      </c>
      <c r="O3" s="15" t="s">
        <v>35</v>
      </c>
      <c r="P3" s="16" t="s">
        <v>36</v>
      </c>
      <c r="Q3" s="15" t="s">
        <v>35</v>
      </c>
      <c r="R3" s="16" t="s">
        <v>36</v>
      </c>
      <c r="S3" s="15" t="s">
        <v>35</v>
      </c>
      <c r="T3" s="16" t="s">
        <v>36</v>
      </c>
      <c r="U3" s="15" t="s">
        <v>35</v>
      </c>
      <c r="V3" s="16" t="s">
        <v>36</v>
      </c>
      <c r="W3" s="15" t="s">
        <v>35</v>
      </c>
      <c r="X3" s="16" t="s">
        <v>36</v>
      </c>
      <c r="Y3" s="30" t="s">
        <v>35</v>
      </c>
      <c r="Z3" s="16" t="s">
        <v>36</v>
      </c>
      <c r="AA3" s="15" t="s">
        <v>35</v>
      </c>
      <c r="AB3" s="16" t="s">
        <v>36</v>
      </c>
      <c r="AC3" s="15" t="s">
        <v>35</v>
      </c>
      <c r="AD3" s="15" t="s">
        <v>36</v>
      </c>
    </row>
    <row r="4" spans="1:28" s="24" customFormat="1" ht="12.75">
      <c r="A4" s="5"/>
      <c r="B4" s="49"/>
      <c r="E4" s="25"/>
      <c r="G4" s="52"/>
      <c r="H4" s="5"/>
      <c r="I4" s="25"/>
      <c r="K4" s="25"/>
      <c r="M4" s="25"/>
      <c r="N4" s="40"/>
      <c r="P4" s="25"/>
      <c r="R4" s="25"/>
      <c r="S4" s="45"/>
      <c r="T4" s="25"/>
      <c r="V4" s="25"/>
      <c r="X4" s="25"/>
      <c r="Z4" s="25"/>
      <c r="AB4" s="25"/>
    </row>
    <row r="5" spans="1:30" ht="12.75">
      <c r="A5" s="6" t="s">
        <v>1</v>
      </c>
      <c r="B5" s="51" t="s">
        <v>115</v>
      </c>
      <c r="C5" s="41" t="s">
        <v>88</v>
      </c>
      <c r="D5">
        <v>1</v>
      </c>
      <c r="E5" s="3">
        <v>3.72</v>
      </c>
      <c r="F5">
        <v>0</v>
      </c>
      <c r="G5" s="53">
        <v>3.59</v>
      </c>
      <c r="H5" s="17">
        <v>0</v>
      </c>
      <c r="I5" s="3">
        <v>3.58</v>
      </c>
      <c r="J5" s="17">
        <v>5</v>
      </c>
      <c r="K5" s="6">
        <v>4.24</v>
      </c>
      <c r="L5" s="17">
        <v>1</v>
      </c>
      <c r="M5" s="6">
        <v>3.72</v>
      </c>
      <c r="N5" s="30"/>
      <c r="O5" s="17">
        <v>13</v>
      </c>
      <c r="P5" s="6">
        <v>5.27</v>
      </c>
      <c r="Q5" s="17">
        <v>39</v>
      </c>
      <c r="R5" s="6">
        <v>8.64</v>
      </c>
      <c r="S5" s="17">
        <v>22</v>
      </c>
      <c r="T5" s="6">
        <v>6.43</v>
      </c>
      <c r="U5" s="17">
        <v>9</v>
      </c>
      <c r="V5" s="6">
        <v>4.74</v>
      </c>
      <c r="W5" s="17">
        <v>4</v>
      </c>
      <c r="X5" s="6">
        <v>4.1</v>
      </c>
      <c r="Y5" s="17">
        <v>40</v>
      </c>
      <c r="Z5" s="6">
        <v>8.78</v>
      </c>
      <c r="AA5" s="17">
        <v>3</v>
      </c>
      <c r="AB5" s="6">
        <v>3.97</v>
      </c>
      <c r="AD5" s="18"/>
    </row>
    <row r="6" spans="1:30" ht="12.75">
      <c r="A6" s="6" t="s">
        <v>1</v>
      </c>
      <c r="B6" s="51" t="s">
        <v>116</v>
      </c>
      <c r="C6" s="41" t="s">
        <v>88</v>
      </c>
      <c r="D6">
        <v>748</v>
      </c>
      <c r="E6" s="3">
        <v>118.41</v>
      </c>
      <c r="F6">
        <v>748</v>
      </c>
      <c r="G6" s="54">
        <v>118.41</v>
      </c>
      <c r="H6" s="17">
        <v>748</v>
      </c>
      <c r="I6" s="3">
        <v>118.41</v>
      </c>
      <c r="J6" s="17">
        <v>748</v>
      </c>
      <c r="K6" s="6">
        <v>118.41</v>
      </c>
      <c r="L6" s="17">
        <v>748</v>
      </c>
      <c r="M6" s="6">
        <v>117.89</v>
      </c>
      <c r="O6" s="17">
        <v>748</v>
      </c>
      <c r="P6" s="6">
        <v>117.89</v>
      </c>
      <c r="Q6" s="17">
        <v>748</v>
      </c>
      <c r="R6" s="6">
        <v>117.89</v>
      </c>
      <c r="S6" s="17">
        <v>748</v>
      </c>
      <c r="T6" s="6">
        <v>117.89</v>
      </c>
      <c r="U6" s="17">
        <v>748</v>
      </c>
      <c r="V6" s="6">
        <v>117.89</v>
      </c>
      <c r="W6" s="17">
        <v>748</v>
      </c>
      <c r="X6" s="6">
        <v>117.89</v>
      </c>
      <c r="Y6" s="17">
        <v>748</v>
      </c>
      <c r="Z6" s="6">
        <v>117.89</v>
      </c>
      <c r="AA6" s="17">
        <v>748</v>
      </c>
      <c r="AB6" s="6">
        <v>117.89</v>
      </c>
      <c r="AD6" s="18"/>
    </row>
    <row r="7" spans="1:30" ht="12.75">
      <c r="A7" s="6" t="s">
        <v>1</v>
      </c>
      <c r="B7" s="51" t="s">
        <v>117</v>
      </c>
      <c r="C7" s="27" t="s">
        <v>88</v>
      </c>
      <c r="D7">
        <v>50</v>
      </c>
      <c r="E7" s="3">
        <v>12.67</v>
      </c>
      <c r="F7">
        <v>50</v>
      </c>
      <c r="G7" s="54">
        <v>12.67</v>
      </c>
      <c r="H7" s="17">
        <v>50</v>
      </c>
      <c r="I7" s="3">
        <v>12.67</v>
      </c>
      <c r="J7" s="17">
        <v>50</v>
      </c>
      <c r="K7" s="6">
        <v>12.67</v>
      </c>
      <c r="L7" s="17">
        <v>50</v>
      </c>
      <c r="M7" s="6">
        <v>12.63</v>
      </c>
      <c r="O7" s="17">
        <v>50</v>
      </c>
      <c r="P7" s="6">
        <v>12.63</v>
      </c>
      <c r="Q7" s="17">
        <v>50</v>
      </c>
      <c r="R7" s="6">
        <v>12.63</v>
      </c>
      <c r="S7" s="17">
        <v>50</v>
      </c>
      <c r="T7" s="6">
        <v>12.63</v>
      </c>
      <c r="U7" s="17">
        <v>50</v>
      </c>
      <c r="V7" s="6">
        <v>12.63</v>
      </c>
      <c r="W7" s="17">
        <v>50</v>
      </c>
      <c r="X7" s="6">
        <v>12.63</v>
      </c>
      <c r="Y7" s="17">
        <v>50</v>
      </c>
      <c r="Z7" s="6">
        <v>12.63</v>
      </c>
      <c r="AA7" s="17">
        <v>50</v>
      </c>
      <c r="AB7" s="6">
        <v>12.63</v>
      </c>
      <c r="AD7" s="18"/>
    </row>
    <row r="8" spans="1:30" ht="12.75">
      <c r="A8" s="6" t="s">
        <v>1</v>
      </c>
      <c r="B8" s="51" t="s">
        <v>118</v>
      </c>
      <c r="C8" s="27" t="s">
        <v>89</v>
      </c>
      <c r="D8">
        <v>10560</v>
      </c>
      <c r="E8" s="3">
        <v>2032.57</v>
      </c>
      <c r="F8">
        <v>11840</v>
      </c>
      <c r="G8" s="54">
        <v>2139.97</v>
      </c>
      <c r="H8" s="17">
        <v>9280</v>
      </c>
      <c r="I8" s="3">
        <v>3534.99</v>
      </c>
      <c r="J8" s="17">
        <v>5760</v>
      </c>
      <c r="K8" s="6">
        <v>2457.83</v>
      </c>
      <c r="L8" s="17">
        <v>7120</v>
      </c>
      <c r="M8" s="6">
        <v>2386.1</v>
      </c>
      <c r="O8" s="17">
        <v>6880</v>
      </c>
      <c r="P8" s="6">
        <v>2372.52</v>
      </c>
      <c r="Q8" s="17">
        <v>6240</v>
      </c>
      <c r="R8" s="6">
        <v>2452.37</v>
      </c>
      <c r="S8" s="17">
        <v>6640</v>
      </c>
      <c r="T8" s="6">
        <v>2489.99</v>
      </c>
      <c r="U8" s="17">
        <v>7280</v>
      </c>
      <c r="V8" s="6">
        <v>2567.3</v>
      </c>
      <c r="W8" s="17">
        <v>5920</v>
      </c>
      <c r="X8" s="6">
        <v>2263.76</v>
      </c>
      <c r="Y8" s="17">
        <v>6160</v>
      </c>
      <c r="Z8" s="6">
        <v>2281.68</v>
      </c>
      <c r="AA8" s="17">
        <v>7600</v>
      </c>
      <c r="AB8" s="6">
        <v>2581.85</v>
      </c>
      <c r="AD8" s="18"/>
    </row>
    <row r="9" spans="1:30" ht="12.75">
      <c r="A9" s="6" t="s">
        <v>2</v>
      </c>
      <c r="B9" s="51" t="s">
        <v>119</v>
      </c>
      <c r="C9" s="27" t="s">
        <v>90</v>
      </c>
      <c r="D9" s="7">
        <v>154560</v>
      </c>
      <c r="E9" s="3">
        <v>18244.18</v>
      </c>
      <c r="F9">
        <v>126080</v>
      </c>
      <c r="G9" s="54">
        <v>15210.8</v>
      </c>
      <c r="H9" s="17">
        <v>92320</v>
      </c>
      <c r="I9" s="3">
        <v>11543.51</v>
      </c>
      <c r="J9" s="17">
        <v>84160</v>
      </c>
      <c r="K9" s="6">
        <v>10673.13</v>
      </c>
      <c r="L9" s="17">
        <v>73600</v>
      </c>
      <c r="M9" s="6">
        <v>9572.04</v>
      </c>
      <c r="O9" s="17">
        <v>95040</v>
      </c>
      <c r="P9" s="6">
        <v>11602.5</v>
      </c>
      <c r="Q9" s="17">
        <v>95840</v>
      </c>
      <c r="R9" s="6">
        <v>11745.46</v>
      </c>
      <c r="S9" s="6">
        <v>81600</v>
      </c>
      <c r="T9" s="6">
        <v>10447.77</v>
      </c>
      <c r="U9" s="17">
        <v>109120</v>
      </c>
      <c r="V9" s="57">
        <v>13457.46</v>
      </c>
      <c r="W9" s="17">
        <v>122240</v>
      </c>
      <c r="X9" s="6">
        <v>14656.28</v>
      </c>
      <c r="Y9" s="17">
        <v>109920</v>
      </c>
      <c r="Z9" s="6">
        <v>13012.52</v>
      </c>
      <c r="AA9" s="17">
        <v>118560</v>
      </c>
      <c r="AB9" s="6">
        <v>14288.85</v>
      </c>
      <c r="AD9" s="18"/>
    </row>
    <row r="10" spans="1:30" ht="12.75">
      <c r="A10" s="6" t="s">
        <v>2</v>
      </c>
      <c r="B10" s="51" t="s">
        <v>120</v>
      </c>
      <c r="C10" s="27" t="s">
        <v>91</v>
      </c>
      <c r="D10">
        <v>71</v>
      </c>
      <c r="E10" s="3">
        <v>14.86</v>
      </c>
      <c r="F10">
        <v>71</v>
      </c>
      <c r="G10" s="54">
        <v>14.86</v>
      </c>
      <c r="H10" s="17">
        <v>71</v>
      </c>
      <c r="I10" s="3">
        <v>14.86</v>
      </c>
      <c r="J10" s="17">
        <v>71</v>
      </c>
      <c r="K10" s="6">
        <v>14.86</v>
      </c>
      <c r="L10" s="17">
        <v>71</v>
      </c>
      <c r="M10" s="6">
        <v>14.81</v>
      </c>
      <c r="O10" s="17">
        <v>71</v>
      </c>
      <c r="P10" s="6">
        <v>14.81</v>
      </c>
      <c r="Q10" s="17">
        <v>71</v>
      </c>
      <c r="R10" s="6">
        <v>14.81</v>
      </c>
      <c r="S10" s="17">
        <v>71</v>
      </c>
      <c r="T10" s="6">
        <v>14.81</v>
      </c>
      <c r="U10" s="17">
        <v>71</v>
      </c>
      <c r="V10" s="6">
        <v>14.81</v>
      </c>
      <c r="W10" s="17">
        <v>71</v>
      </c>
      <c r="X10" s="6">
        <v>14.81</v>
      </c>
      <c r="Y10" s="17">
        <v>71</v>
      </c>
      <c r="Z10" s="6">
        <v>14.81</v>
      </c>
      <c r="AA10" s="17">
        <v>71</v>
      </c>
      <c r="AB10" s="6">
        <v>14.81</v>
      </c>
      <c r="AD10" s="18"/>
    </row>
    <row r="11" spans="1:30" ht="12.75">
      <c r="A11" s="6" t="s">
        <v>2</v>
      </c>
      <c r="B11" s="51" t="s">
        <v>121</v>
      </c>
      <c r="C11" s="27" t="s">
        <v>91</v>
      </c>
      <c r="D11">
        <v>160</v>
      </c>
      <c r="E11" s="3">
        <v>29</v>
      </c>
      <c r="F11">
        <v>160</v>
      </c>
      <c r="G11" s="54">
        <v>29</v>
      </c>
      <c r="H11" s="17">
        <v>160</v>
      </c>
      <c r="I11" s="3">
        <v>29</v>
      </c>
      <c r="J11" s="17">
        <v>160</v>
      </c>
      <c r="K11" s="6">
        <v>29</v>
      </c>
      <c r="L11" s="17">
        <v>160</v>
      </c>
      <c r="M11" s="26">
        <v>28.89</v>
      </c>
      <c r="N11" s="41"/>
      <c r="O11" s="27">
        <v>160</v>
      </c>
      <c r="P11" s="6">
        <v>28.89</v>
      </c>
      <c r="Q11" s="17">
        <v>160</v>
      </c>
      <c r="R11" s="6">
        <v>28.89</v>
      </c>
      <c r="S11" s="17">
        <v>160</v>
      </c>
      <c r="T11" s="6">
        <v>28.89</v>
      </c>
      <c r="U11" s="17">
        <v>160</v>
      </c>
      <c r="V11" s="6">
        <v>28.89</v>
      </c>
      <c r="W11" s="17">
        <v>160</v>
      </c>
      <c r="X11" s="6">
        <v>28.89</v>
      </c>
      <c r="Y11" s="17">
        <v>160</v>
      </c>
      <c r="Z11" s="6">
        <v>28.89</v>
      </c>
      <c r="AA11" s="17">
        <v>160</v>
      </c>
      <c r="AB11" s="6">
        <v>28.89</v>
      </c>
      <c r="AD11" s="18"/>
    </row>
    <row r="12" spans="1:30" ht="12.75">
      <c r="A12" s="6" t="s">
        <v>2</v>
      </c>
      <c r="B12" s="51" t="s">
        <v>122</v>
      </c>
      <c r="C12" s="27" t="s">
        <v>92</v>
      </c>
      <c r="D12">
        <v>374</v>
      </c>
      <c r="E12" s="3">
        <v>59.2</v>
      </c>
      <c r="F12">
        <v>374</v>
      </c>
      <c r="G12" s="54">
        <v>59.2</v>
      </c>
      <c r="H12" s="17">
        <v>374</v>
      </c>
      <c r="I12" s="3">
        <v>59.2</v>
      </c>
      <c r="J12" s="17">
        <v>374</v>
      </c>
      <c r="K12" s="6">
        <v>59.2</v>
      </c>
      <c r="L12" s="17">
        <v>374</v>
      </c>
      <c r="M12" s="6">
        <v>58.94</v>
      </c>
      <c r="O12" s="28">
        <v>374</v>
      </c>
      <c r="P12" s="6">
        <v>58.94</v>
      </c>
      <c r="Q12" s="17">
        <v>374</v>
      </c>
      <c r="R12" s="6">
        <v>58.94</v>
      </c>
      <c r="S12" s="17">
        <v>374</v>
      </c>
      <c r="T12" s="6">
        <v>58.94</v>
      </c>
      <c r="U12" s="17">
        <v>374</v>
      </c>
      <c r="V12" s="6">
        <v>58.94</v>
      </c>
      <c r="W12" s="17">
        <v>374</v>
      </c>
      <c r="X12" s="6">
        <v>58.94</v>
      </c>
      <c r="Y12" s="17">
        <v>374</v>
      </c>
      <c r="Z12" s="6">
        <v>58.94</v>
      </c>
      <c r="AA12" s="17">
        <v>374</v>
      </c>
      <c r="AB12" s="6">
        <v>58.94</v>
      </c>
      <c r="AD12" s="18"/>
    </row>
    <row r="13" spans="1:30" ht="12.75">
      <c r="A13" s="6" t="s">
        <v>3</v>
      </c>
      <c r="B13" s="51" t="s">
        <v>123</v>
      </c>
      <c r="C13" s="27" t="s">
        <v>93</v>
      </c>
      <c r="D13">
        <v>8920</v>
      </c>
      <c r="E13" s="3">
        <v>1131.7</v>
      </c>
      <c r="F13">
        <v>7360</v>
      </c>
      <c r="G13" s="54">
        <v>955.54</v>
      </c>
      <c r="H13" s="17">
        <v>5480</v>
      </c>
      <c r="I13" s="3">
        <v>757.05</v>
      </c>
      <c r="J13" s="17">
        <v>4320</v>
      </c>
      <c r="K13" s="6">
        <v>637.98</v>
      </c>
      <c r="L13" s="17">
        <v>4000</v>
      </c>
      <c r="M13" s="6">
        <v>601.28</v>
      </c>
      <c r="O13" s="28">
        <v>5120</v>
      </c>
      <c r="P13" s="6">
        <v>708.13</v>
      </c>
      <c r="Q13" s="17">
        <v>5080</v>
      </c>
      <c r="R13" s="6">
        <v>711.74</v>
      </c>
      <c r="S13" s="17">
        <v>4240</v>
      </c>
      <c r="T13" s="6">
        <v>635.81</v>
      </c>
      <c r="U13" s="17">
        <v>5760</v>
      </c>
      <c r="V13" s="6">
        <v>783.5</v>
      </c>
      <c r="W13" s="17">
        <v>6960</v>
      </c>
      <c r="X13" s="6">
        <v>899.48</v>
      </c>
      <c r="Y13" s="17">
        <v>9920</v>
      </c>
      <c r="Z13" s="6">
        <v>1262.95</v>
      </c>
      <c r="AA13" s="17">
        <v>9440</v>
      </c>
      <c r="AB13" s="6">
        <v>1196.54</v>
      </c>
      <c r="AD13" s="18"/>
    </row>
    <row r="14" spans="1:30" ht="12.75">
      <c r="A14" s="6" t="s">
        <v>76</v>
      </c>
      <c r="B14" s="51" t="s">
        <v>124</v>
      </c>
      <c r="C14" s="27" t="s">
        <v>114</v>
      </c>
      <c r="D14">
        <v>0</v>
      </c>
      <c r="E14" s="3">
        <v>22.4</v>
      </c>
      <c r="F14">
        <v>-53</v>
      </c>
      <c r="G14" s="54">
        <v>17.39</v>
      </c>
      <c r="H14" s="17">
        <v>57</v>
      </c>
      <c r="I14" s="3">
        <v>37.48</v>
      </c>
      <c r="J14" s="17">
        <v>191</v>
      </c>
      <c r="K14" s="6">
        <v>50.19</v>
      </c>
      <c r="L14" s="17">
        <v>0</v>
      </c>
      <c r="M14" s="6">
        <v>26.84</v>
      </c>
      <c r="O14" s="28">
        <v>0</v>
      </c>
      <c r="P14" s="6">
        <v>26.84</v>
      </c>
      <c r="Q14" s="17">
        <v>0</v>
      </c>
      <c r="R14" s="6">
        <v>26.84</v>
      </c>
      <c r="S14" s="17">
        <v>14320</v>
      </c>
      <c r="T14" s="6">
        <v>1691.06</v>
      </c>
      <c r="U14" s="17">
        <v>18160</v>
      </c>
      <c r="V14" s="6">
        <v>2123.14</v>
      </c>
      <c r="W14" s="17">
        <v>19040</v>
      </c>
      <c r="X14" s="6">
        <v>2220.11</v>
      </c>
      <c r="Y14" s="17">
        <v>25120</v>
      </c>
      <c r="Z14" s="6">
        <v>2756.66</v>
      </c>
      <c r="AA14" s="17">
        <v>23760</v>
      </c>
      <c r="AB14" s="6">
        <v>2657.07</v>
      </c>
      <c r="AD14" s="18"/>
    </row>
    <row r="15" spans="1:30" ht="12.75">
      <c r="A15" s="6" t="s">
        <v>34</v>
      </c>
      <c r="B15" s="51" t="s">
        <v>125</v>
      </c>
      <c r="C15" s="27" t="s">
        <v>94</v>
      </c>
      <c r="D15">
        <v>68160</v>
      </c>
      <c r="E15" s="3">
        <v>8808.04</v>
      </c>
      <c r="F15">
        <v>63600</v>
      </c>
      <c r="G15" s="54">
        <v>8153</v>
      </c>
      <c r="H15" s="17">
        <v>48000</v>
      </c>
      <c r="I15" s="3">
        <v>6415.05</v>
      </c>
      <c r="J15" s="17">
        <v>43920</v>
      </c>
      <c r="K15" s="6">
        <v>5986.03</v>
      </c>
      <c r="L15" s="17">
        <v>39360</v>
      </c>
      <c r="M15" s="6">
        <v>5718.75</v>
      </c>
      <c r="O15" s="28">
        <v>53280</v>
      </c>
      <c r="P15" s="6">
        <v>6860.08</v>
      </c>
      <c r="Q15" s="17">
        <v>42480</v>
      </c>
      <c r="R15" s="6">
        <v>5891.72</v>
      </c>
      <c r="S15" s="17">
        <v>48480</v>
      </c>
      <c r="T15" s="6">
        <v>6437.09</v>
      </c>
      <c r="U15" s="17">
        <v>54720</v>
      </c>
      <c r="V15" s="6">
        <v>7428.4</v>
      </c>
      <c r="W15" s="17">
        <v>59280</v>
      </c>
      <c r="X15" s="6">
        <v>7884.46</v>
      </c>
      <c r="Y15" s="17">
        <v>44640</v>
      </c>
      <c r="Z15" s="6">
        <v>5893.66</v>
      </c>
      <c r="AA15" s="17">
        <v>46560</v>
      </c>
      <c r="AB15" s="6">
        <v>6140.58</v>
      </c>
      <c r="AD15" s="18"/>
    </row>
    <row r="16" spans="1:30" ht="12.75">
      <c r="A16" s="6" t="s">
        <v>4</v>
      </c>
      <c r="B16" s="51" t="s">
        <v>126</v>
      </c>
      <c r="C16" s="27" t="s">
        <v>95</v>
      </c>
      <c r="D16">
        <v>39</v>
      </c>
      <c r="E16" s="3">
        <v>8.68</v>
      </c>
      <c r="F16">
        <v>21</v>
      </c>
      <c r="G16" s="54">
        <v>6.33</v>
      </c>
      <c r="H16" s="17">
        <v>14</v>
      </c>
      <c r="I16" s="3">
        <v>5.41</v>
      </c>
      <c r="J16" s="17">
        <v>28</v>
      </c>
      <c r="K16" s="6">
        <v>7.23</v>
      </c>
      <c r="L16" s="17">
        <v>87</v>
      </c>
      <c r="M16" s="6">
        <v>14.83</v>
      </c>
      <c r="O16" s="28">
        <v>464</v>
      </c>
      <c r="P16" s="6">
        <v>63.64</v>
      </c>
      <c r="Q16" s="17">
        <v>18</v>
      </c>
      <c r="R16" s="6">
        <v>5.91</v>
      </c>
      <c r="S16" s="17">
        <v>17</v>
      </c>
      <c r="T16" s="6">
        <v>5.79</v>
      </c>
      <c r="U16" s="17">
        <v>35</v>
      </c>
      <c r="V16" s="6">
        <v>8.12</v>
      </c>
      <c r="W16" s="17">
        <v>27</v>
      </c>
      <c r="X16" s="6">
        <v>7.07</v>
      </c>
      <c r="Y16" s="17">
        <v>24</v>
      </c>
      <c r="Z16" s="6">
        <v>6.71</v>
      </c>
      <c r="AA16" s="17">
        <v>103</v>
      </c>
      <c r="AB16" s="6">
        <v>16.91</v>
      </c>
      <c r="AD16" s="18"/>
    </row>
    <row r="17" spans="1:30" ht="12.75">
      <c r="A17" s="6" t="s">
        <v>5</v>
      </c>
      <c r="B17" s="51" t="s">
        <v>127</v>
      </c>
      <c r="C17" s="27" t="s">
        <v>96</v>
      </c>
      <c r="D17">
        <v>78400</v>
      </c>
      <c r="E17" s="3">
        <v>9996.56</v>
      </c>
      <c r="F17">
        <v>55600</v>
      </c>
      <c r="G17" s="54">
        <v>7391.44</v>
      </c>
      <c r="H17" s="17">
        <v>30000</v>
      </c>
      <c r="I17" s="3">
        <v>6408.3</v>
      </c>
      <c r="J17" s="17">
        <v>43600</v>
      </c>
      <c r="K17" s="6">
        <v>6166.17</v>
      </c>
      <c r="L17" s="17">
        <v>42000</v>
      </c>
      <c r="M17" s="6">
        <v>5948.94</v>
      </c>
      <c r="O17" s="28">
        <v>57400</v>
      </c>
      <c r="P17" s="6">
        <v>7370.53</v>
      </c>
      <c r="Q17" s="17">
        <v>50000</v>
      </c>
      <c r="R17" s="6">
        <v>6722.5</v>
      </c>
      <c r="S17" s="17">
        <v>35400</v>
      </c>
      <c r="T17" s="6">
        <v>5250.6</v>
      </c>
      <c r="U17" s="17">
        <v>57000</v>
      </c>
      <c r="V17" s="6">
        <v>7710.49</v>
      </c>
      <c r="W17" s="17">
        <v>55400</v>
      </c>
      <c r="X17" s="6">
        <v>7382.1</v>
      </c>
      <c r="Y17" s="17">
        <v>39800</v>
      </c>
      <c r="Z17" s="6">
        <v>5444.43</v>
      </c>
      <c r="AA17" s="17">
        <v>39800</v>
      </c>
      <c r="AB17" s="6">
        <v>5644.96</v>
      </c>
      <c r="AD17" s="18"/>
    </row>
    <row r="18" spans="1:30" ht="12.75">
      <c r="A18" s="26" t="s">
        <v>50</v>
      </c>
      <c r="B18" s="51" t="s">
        <v>128</v>
      </c>
      <c r="C18" s="27" t="s">
        <v>97</v>
      </c>
      <c r="D18">
        <v>640</v>
      </c>
      <c r="E18" s="3">
        <v>116.08</v>
      </c>
      <c r="F18">
        <v>640</v>
      </c>
      <c r="G18" s="55">
        <v>116.08</v>
      </c>
      <c r="H18" s="17">
        <v>17240</v>
      </c>
      <c r="I18" s="3">
        <v>116.08</v>
      </c>
      <c r="J18" s="17">
        <v>640</v>
      </c>
      <c r="K18" s="57">
        <v>116.08</v>
      </c>
      <c r="L18" s="17">
        <v>640</v>
      </c>
      <c r="M18" s="6">
        <v>115.62</v>
      </c>
      <c r="O18" s="28">
        <v>640</v>
      </c>
      <c r="P18" s="6">
        <v>115.62</v>
      </c>
      <c r="Q18" s="17">
        <v>640</v>
      </c>
      <c r="R18" s="6">
        <v>115.62</v>
      </c>
      <c r="S18" s="17">
        <v>640</v>
      </c>
      <c r="T18" s="6">
        <v>115.62</v>
      </c>
      <c r="U18" s="17">
        <v>640</v>
      </c>
      <c r="V18" s="3">
        <v>115.62</v>
      </c>
      <c r="W18" s="17">
        <v>640</v>
      </c>
      <c r="X18" s="3">
        <v>115.62</v>
      </c>
      <c r="Y18" s="17">
        <v>640</v>
      </c>
      <c r="Z18" s="6">
        <v>115.62</v>
      </c>
      <c r="AA18" s="17">
        <v>640</v>
      </c>
      <c r="AB18" s="6">
        <v>115.62</v>
      </c>
      <c r="AD18" s="18"/>
    </row>
    <row r="19" spans="1:30" ht="12.75">
      <c r="A19" s="6" t="s">
        <v>6</v>
      </c>
      <c r="B19" s="51" t="s">
        <v>129</v>
      </c>
      <c r="C19" s="27" t="s">
        <v>98</v>
      </c>
      <c r="D19">
        <v>30080</v>
      </c>
      <c r="E19" s="3">
        <v>3793.77</v>
      </c>
      <c r="F19">
        <v>23920</v>
      </c>
      <c r="G19" s="54">
        <v>3223.18</v>
      </c>
      <c r="H19" s="17">
        <v>12720</v>
      </c>
      <c r="I19" s="3">
        <v>2074.45</v>
      </c>
      <c r="J19" s="17">
        <v>11040</v>
      </c>
      <c r="K19" s="6">
        <v>1910.52</v>
      </c>
      <c r="L19" s="17">
        <v>9920</v>
      </c>
      <c r="M19" s="6">
        <v>1709.01</v>
      </c>
      <c r="O19" s="28">
        <v>12640</v>
      </c>
      <c r="P19" s="6">
        <v>1981.39</v>
      </c>
      <c r="Q19" s="17">
        <v>12160</v>
      </c>
      <c r="R19" s="6">
        <v>1936.38</v>
      </c>
      <c r="S19" s="17">
        <v>12320</v>
      </c>
      <c r="T19" s="6">
        <v>1966.96</v>
      </c>
      <c r="U19" s="17">
        <v>18560</v>
      </c>
      <c r="V19" s="6">
        <v>2583.51</v>
      </c>
      <c r="W19" s="17">
        <v>23840</v>
      </c>
      <c r="X19" s="6">
        <v>3111.31</v>
      </c>
      <c r="Y19" s="17">
        <v>22560</v>
      </c>
      <c r="Z19" s="6">
        <v>2990.88</v>
      </c>
      <c r="AA19" s="17">
        <v>29280</v>
      </c>
      <c r="AB19" s="6">
        <v>3636.88</v>
      </c>
      <c r="AD19" s="18"/>
    </row>
    <row r="20" spans="1:30" ht="12.75">
      <c r="A20" s="6" t="s">
        <v>7</v>
      </c>
      <c r="B20" s="51" t="s">
        <v>130</v>
      </c>
      <c r="C20" s="27" t="s">
        <v>99</v>
      </c>
      <c r="D20">
        <v>909</v>
      </c>
      <c r="E20" s="3">
        <v>186.98</v>
      </c>
      <c r="F20">
        <v>503</v>
      </c>
      <c r="G20" s="54">
        <v>148.46</v>
      </c>
      <c r="H20" s="17">
        <v>235</v>
      </c>
      <c r="I20" s="3">
        <v>130.51</v>
      </c>
      <c r="J20" s="17">
        <v>2695</v>
      </c>
      <c r="K20" s="6">
        <v>393.29</v>
      </c>
      <c r="L20" s="17">
        <v>3153</v>
      </c>
      <c r="M20" s="6">
        <v>420.06</v>
      </c>
      <c r="O20" s="28">
        <v>2441</v>
      </c>
      <c r="P20" s="6">
        <v>353.09</v>
      </c>
      <c r="Q20" s="17">
        <v>2123</v>
      </c>
      <c r="R20" s="6">
        <v>311.58</v>
      </c>
      <c r="S20" s="17">
        <v>1458</v>
      </c>
      <c r="T20" s="6">
        <v>249.04</v>
      </c>
      <c r="U20" s="17">
        <v>898</v>
      </c>
      <c r="V20" s="6">
        <v>183.93</v>
      </c>
      <c r="W20" s="17">
        <v>925</v>
      </c>
      <c r="X20" s="6">
        <v>186.45</v>
      </c>
      <c r="Y20" s="17">
        <v>135</v>
      </c>
      <c r="Z20" s="6">
        <v>107.47</v>
      </c>
      <c r="AA20" s="17">
        <v>113</v>
      </c>
      <c r="AB20" s="6">
        <v>114.72</v>
      </c>
      <c r="AD20" s="18"/>
    </row>
    <row r="21" spans="1:30" ht="12.75">
      <c r="A21" s="6" t="s">
        <v>8</v>
      </c>
      <c r="B21" s="51" t="s">
        <v>131</v>
      </c>
      <c r="C21" s="27" t="s">
        <v>100</v>
      </c>
      <c r="D21">
        <v>0</v>
      </c>
      <c r="E21" s="3">
        <v>3.59</v>
      </c>
      <c r="F21">
        <v>0</v>
      </c>
      <c r="G21" s="54">
        <v>3.59</v>
      </c>
      <c r="H21" s="17">
        <v>0</v>
      </c>
      <c r="I21" s="3">
        <v>3.59</v>
      </c>
      <c r="J21" s="17">
        <v>66</v>
      </c>
      <c r="K21" s="6">
        <v>12.21</v>
      </c>
      <c r="L21" s="17">
        <v>294</v>
      </c>
      <c r="M21" s="6">
        <v>41.61</v>
      </c>
      <c r="O21" s="28">
        <v>303</v>
      </c>
      <c r="P21" s="6">
        <v>42.81</v>
      </c>
      <c r="Q21" s="17">
        <v>92</v>
      </c>
      <c r="R21" s="6">
        <v>15.47</v>
      </c>
      <c r="S21" s="17">
        <v>160</v>
      </c>
      <c r="T21" s="6">
        <v>24.27</v>
      </c>
      <c r="U21" s="17">
        <v>205</v>
      </c>
      <c r="V21" s="6">
        <v>30.08</v>
      </c>
      <c r="W21" s="17">
        <v>0</v>
      </c>
      <c r="X21" s="6">
        <v>3.59</v>
      </c>
      <c r="Y21" s="17">
        <v>0</v>
      </c>
      <c r="Z21" s="6">
        <v>3.59</v>
      </c>
      <c r="AA21" s="17">
        <v>221</v>
      </c>
      <c r="AB21" s="6">
        <v>32.17</v>
      </c>
      <c r="AD21" s="18"/>
    </row>
    <row r="22" spans="1:30" ht="12.75">
      <c r="A22" s="6" t="s">
        <v>9</v>
      </c>
      <c r="B22" s="51" t="s">
        <v>132</v>
      </c>
      <c r="C22" s="27" t="s">
        <v>101</v>
      </c>
      <c r="D22">
        <v>2695</v>
      </c>
      <c r="E22" s="3">
        <v>366.97</v>
      </c>
      <c r="F22">
        <v>2013</v>
      </c>
      <c r="G22" s="54">
        <v>303.76</v>
      </c>
      <c r="H22" s="17">
        <v>1807</v>
      </c>
      <c r="I22" s="3">
        <v>281.21</v>
      </c>
      <c r="J22" s="17">
        <v>2272</v>
      </c>
      <c r="K22" s="6">
        <v>346.12</v>
      </c>
      <c r="L22" s="17">
        <v>2251</v>
      </c>
      <c r="M22" s="6">
        <v>335.23</v>
      </c>
      <c r="O22" s="28">
        <v>2657</v>
      </c>
      <c r="P22" s="6">
        <v>380.45</v>
      </c>
      <c r="Q22" s="17">
        <v>1903</v>
      </c>
      <c r="R22" s="6">
        <v>292.43</v>
      </c>
      <c r="S22" s="17">
        <v>1726</v>
      </c>
      <c r="T22" s="6">
        <v>286.65</v>
      </c>
      <c r="U22" s="17">
        <v>1852</v>
      </c>
      <c r="V22" s="6">
        <v>291.42</v>
      </c>
      <c r="W22" s="17">
        <v>1505</v>
      </c>
      <c r="X22" s="6">
        <v>249.02</v>
      </c>
      <c r="Y22" s="17">
        <v>1299</v>
      </c>
      <c r="Z22" s="6">
        <v>228.1</v>
      </c>
      <c r="AA22" s="17">
        <v>2159</v>
      </c>
      <c r="AB22" s="6">
        <v>304.33</v>
      </c>
      <c r="AD22" s="18"/>
    </row>
    <row r="23" spans="1:30" ht="12.75">
      <c r="A23" s="6" t="s">
        <v>10</v>
      </c>
      <c r="B23" s="51" t="s">
        <v>133</v>
      </c>
      <c r="C23" s="27" t="s">
        <v>102</v>
      </c>
      <c r="D23">
        <v>7637</v>
      </c>
      <c r="E23" s="3">
        <v>967.78</v>
      </c>
      <c r="F23">
        <v>25517</v>
      </c>
      <c r="G23" s="54">
        <v>2664.75</v>
      </c>
      <c r="H23" s="17">
        <v>70277</v>
      </c>
      <c r="I23" s="3">
        <v>6891.74</v>
      </c>
      <c r="J23" s="17">
        <v>9669</v>
      </c>
      <c r="K23" s="6">
        <v>384.57</v>
      </c>
      <c r="L23" s="17">
        <v>11776</v>
      </c>
      <c r="M23" s="6">
        <v>1329.68</v>
      </c>
      <c r="O23" s="28">
        <v>12189</v>
      </c>
      <c r="P23" s="6">
        <v>1396.66</v>
      </c>
      <c r="Q23" s="17">
        <v>10166</v>
      </c>
      <c r="R23" s="6">
        <v>1208.17</v>
      </c>
      <c r="S23" s="17">
        <v>10376</v>
      </c>
      <c r="T23" s="6">
        <v>1227.92</v>
      </c>
      <c r="U23" s="17">
        <v>10378</v>
      </c>
      <c r="V23" s="6">
        <v>1185.6</v>
      </c>
      <c r="W23" s="17">
        <v>11261</v>
      </c>
      <c r="X23" s="6">
        <v>1275.75</v>
      </c>
      <c r="Y23" s="17">
        <v>12994</v>
      </c>
      <c r="Z23" s="6">
        <v>1426.83</v>
      </c>
      <c r="AA23" s="17">
        <v>12665</v>
      </c>
      <c r="AB23" s="6">
        <v>1429.08</v>
      </c>
      <c r="AD23" s="18"/>
    </row>
    <row r="24" spans="1:30" ht="12.75">
      <c r="A24" s="6" t="s">
        <v>54</v>
      </c>
      <c r="B24" s="51" t="s">
        <v>134</v>
      </c>
      <c r="C24" s="27" t="s">
        <v>103</v>
      </c>
      <c r="D24">
        <v>2280</v>
      </c>
      <c r="E24" s="3">
        <v>1332.77</v>
      </c>
      <c r="F24">
        <v>2680</v>
      </c>
      <c r="G24" s="54">
        <v>1489.13</v>
      </c>
      <c r="H24" s="17">
        <v>2280</v>
      </c>
      <c r="I24" s="3">
        <v>1451.18</v>
      </c>
      <c r="J24" s="17">
        <v>1520</v>
      </c>
      <c r="K24" s="6">
        <v>1269.62</v>
      </c>
      <c r="L24" s="17">
        <v>1360</v>
      </c>
      <c r="M24" s="6">
        <v>1253.31</v>
      </c>
      <c r="O24" s="28">
        <v>1840</v>
      </c>
      <c r="P24" s="6">
        <v>1457.34</v>
      </c>
      <c r="Q24" s="17">
        <v>4840</v>
      </c>
      <c r="R24" s="6">
        <v>2223.32</v>
      </c>
      <c r="S24" s="17">
        <v>4880</v>
      </c>
      <c r="T24" s="6">
        <v>2241.24</v>
      </c>
      <c r="U24" s="17">
        <v>3800</v>
      </c>
      <c r="V24" s="6">
        <v>2125.49</v>
      </c>
      <c r="W24" s="17">
        <v>3600</v>
      </c>
      <c r="X24" s="6">
        <v>1766.12</v>
      </c>
      <c r="Y24" s="17">
        <v>3680</v>
      </c>
      <c r="Z24" s="6">
        <v>1590.31</v>
      </c>
      <c r="AA24" s="17">
        <v>2160</v>
      </c>
      <c r="AB24" s="6">
        <v>1406.89</v>
      </c>
      <c r="AD24" s="18"/>
    </row>
    <row r="25" spans="1:30" ht="12.75">
      <c r="A25" s="6" t="s">
        <v>12</v>
      </c>
      <c r="B25" s="51" t="s">
        <v>135</v>
      </c>
      <c r="C25" s="27" t="s">
        <v>104</v>
      </c>
      <c r="D25">
        <v>76400</v>
      </c>
      <c r="E25" s="3">
        <v>10282.78</v>
      </c>
      <c r="F25">
        <v>65600</v>
      </c>
      <c r="G25" s="54">
        <v>9301.05</v>
      </c>
      <c r="H25" s="17">
        <v>48200</v>
      </c>
      <c r="I25" s="3">
        <v>7719.42</v>
      </c>
      <c r="J25" s="17">
        <v>60200</v>
      </c>
      <c r="K25" s="6">
        <v>9287.19</v>
      </c>
      <c r="L25" s="17">
        <v>69200</v>
      </c>
      <c r="M25" s="6">
        <v>10174.15</v>
      </c>
      <c r="O25" s="28">
        <v>91800</v>
      </c>
      <c r="P25" s="6">
        <v>13137.11</v>
      </c>
      <c r="Q25" s="17">
        <v>65600</v>
      </c>
      <c r="R25" s="6">
        <v>10787.49</v>
      </c>
      <c r="S25" s="17">
        <v>46000</v>
      </c>
      <c r="T25" s="6">
        <v>9005.98</v>
      </c>
      <c r="U25" s="17">
        <v>50400</v>
      </c>
      <c r="V25" s="6">
        <v>7891.94</v>
      </c>
      <c r="W25" s="17">
        <v>60600</v>
      </c>
      <c r="X25" s="6">
        <v>8891.46</v>
      </c>
      <c r="Y25" s="17">
        <v>71800</v>
      </c>
      <c r="Z25" s="6">
        <v>9870.47</v>
      </c>
      <c r="AA25" s="17">
        <v>60800</v>
      </c>
      <c r="AB25" s="6">
        <v>8876.22</v>
      </c>
      <c r="AD25" s="18"/>
    </row>
    <row r="26" spans="1:30" ht="12.75">
      <c r="A26" s="6" t="s">
        <v>13</v>
      </c>
      <c r="B26" s="51" t="s">
        <v>136</v>
      </c>
      <c r="C26" s="27" t="s">
        <v>105</v>
      </c>
      <c r="D26">
        <v>1058</v>
      </c>
      <c r="E26" s="3">
        <v>474.42</v>
      </c>
      <c r="F26">
        <v>399</v>
      </c>
      <c r="G26" s="54">
        <v>455.34</v>
      </c>
      <c r="H26" s="17">
        <v>967</v>
      </c>
      <c r="I26" s="3">
        <v>468.3</v>
      </c>
      <c r="J26" s="17">
        <v>758</v>
      </c>
      <c r="K26" s="6">
        <v>383.99</v>
      </c>
      <c r="L26" s="17">
        <v>292</v>
      </c>
      <c r="M26" s="6">
        <v>339.51</v>
      </c>
      <c r="O26" s="28">
        <v>429</v>
      </c>
      <c r="P26" s="6">
        <v>416.88</v>
      </c>
      <c r="Q26" s="17">
        <v>717</v>
      </c>
      <c r="R26" s="6">
        <v>446.8</v>
      </c>
      <c r="S26" s="17">
        <v>853</v>
      </c>
      <c r="T26" s="6">
        <v>459.57</v>
      </c>
      <c r="U26" s="17">
        <v>943</v>
      </c>
      <c r="V26" s="6">
        <v>394.53</v>
      </c>
      <c r="W26" s="17">
        <v>1828</v>
      </c>
      <c r="X26" s="6">
        <v>448.26</v>
      </c>
      <c r="Y26" s="17">
        <v>3869</v>
      </c>
      <c r="Z26" s="6">
        <v>649.59</v>
      </c>
      <c r="AA26" s="17">
        <v>3995</v>
      </c>
      <c r="AB26" s="6">
        <v>680.1</v>
      </c>
      <c r="AD26" s="18"/>
    </row>
    <row r="27" spans="1:30" ht="12.75">
      <c r="A27" s="6" t="s">
        <v>14</v>
      </c>
      <c r="B27" s="51" t="s">
        <v>137</v>
      </c>
      <c r="C27" s="27" t="s">
        <v>106</v>
      </c>
      <c r="D27">
        <v>71600</v>
      </c>
      <c r="E27" s="3">
        <v>8759.93</v>
      </c>
      <c r="F27">
        <v>54800</v>
      </c>
      <c r="G27" s="54">
        <v>6957.94</v>
      </c>
      <c r="H27" s="17">
        <v>29600</v>
      </c>
      <c r="I27" s="3">
        <v>4483.23</v>
      </c>
      <c r="J27" s="17">
        <v>31200</v>
      </c>
      <c r="K27" s="6">
        <v>4616.43</v>
      </c>
      <c r="L27" s="17">
        <v>30800</v>
      </c>
      <c r="M27" s="6">
        <v>4932.43</v>
      </c>
      <c r="O27" s="28">
        <v>57200</v>
      </c>
      <c r="P27" s="6">
        <v>7497.25</v>
      </c>
      <c r="Q27" s="17">
        <v>32400</v>
      </c>
      <c r="R27" s="6">
        <v>4958.89</v>
      </c>
      <c r="S27" s="17">
        <v>32400</v>
      </c>
      <c r="T27" s="6">
        <v>4696.73</v>
      </c>
      <c r="U27" s="17">
        <v>38800</v>
      </c>
      <c r="V27" s="6">
        <v>5640.41</v>
      </c>
      <c r="W27" s="17">
        <v>49600</v>
      </c>
      <c r="X27" s="6">
        <v>6788.38</v>
      </c>
      <c r="Y27" s="17">
        <v>26800</v>
      </c>
      <c r="Z27" s="6">
        <v>5148.47</v>
      </c>
      <c r="AA27" s="17">
        <v>36800</v>
      </c>
      <c r="AB27" s="6">
        <v>5957.6</v>
      </c>
      <c r="AD27" s="18"/>
    </row>
    <row r="28" spans="1:30" ht="12.75">
      <c r="A28" s="6" t="s">
        <v>15</v>
      </c>
      <c r="B28" s="51" t="s">
        <v>138</v>
      </c>
      <c r="C28" s="27" t="s">
        <v>107</v>
      </c>
      <c r="D28">
        <v>279</v>
      </c>
      <c r="E28" s="3">
        <v>39.9</v>
      </c>
      <c r="F28">
        <v>596</v>
      </c>
      <c r="G28" s="54">
        <v>81.23</v>
      </c>
      <c r="H28" s="17">
        <v>2194</v>
      </c>
      <c r="I28" s="3">
        <v>289.36</v>
      </c>
      <c r="J28" s="17">
        <v>4086</v>
      </c>
      <c r="K28" s="6">
        <v>535.8</v>
      </c>
      <c r="L28" s="17">
        <v>4349</v>
      </c>
      <c r="M28" s="6">
        <v>566.42</v>
      </c>
      <c r="O28" s="28">
        <v>1964</v>
      </c>
      <c r="P28" s="6">
        <v>257.77</v>
      </c>
      <c r="Q28" s="17">
        <v>737</v>
      </c>
      <c r="R28" s="6">
        <v>98.88</v>
      </c>
      <c r="S28" s="17">
        <v>564</v>
      </c>
      <c r="T28" s="6">
        <v>76.5</v>
      </c>
      <c r="U28" s="17">
        <v>1667</v>
      </c>
      <c r="V28" s="3">
        <v>219.15</v>
      </c>
      <c r="W28" s="17">
        <v>522</v>
      </c>
      <c r="X28" s="6">
        <v>71.08</v>
      </c>
      <c r="Y28" s="17">
        <v>1330</v>
      </c>
      <c r="Z28" s="6">
        <v>175.56</v>
      </c>
      <c r="AA28" s="17">
        <v>1352</v>
      </c>
      <c r="AB28" s="6">
        <v>178.42</v>
      </c>
      <c r="AD28" s="18"/>
    </row>
    <row r="29" spans="1:30" ht="12.75">
      <c r="A29" s="6" t="s">
        <v>15</v>
      </c>
      <c r="B29" s="51" t="s">
        <v>139</v>
      </c>
      <c r="C29" s="27" t="s">
        <v>107</v>
      </c>
      <c r="D29">
        <v>50</v>
      </c>
      <c r="E29" s="3">
        <v>12.67</v>
      </c>
      <c r="F29">
        <v>50</v>
      </c>
      <c r="G29" s="54">
        <v>12.67</v>
      </c>
      <c r="H29" s="17">
        <v>50</v>
      </c>
      <c r="I29" s="3">
        <v>12.67</v>
      </c>
      <c r="J29" s="17">
        <v>50</v>
      </c>
      <c r="K29" s="6">
        <v>12.67</v>
      </c>
      <c r="L29" s="17">
        <v>50</v>
      </c>
      <c r="M29" s="6">
        <v>12.63</v>
      </c>
      <c r="O29" s="28">
        <v>50</v>
      </c>
      <c r="P29" s="6">
        <v>12.63</v>
      </c>
      <c r="Q29" s="17">
        <v>50</v>
      </c>
      <c r="R29" s="6">
        <v>12.63</v>
      </c>
      <c r="S29" s="17">
        <v>50</v>
      </c>
      <c r="T29" s="6">
        <v>12.63</v>
      </c>
      <c r="U29" s="17">
        <v>50</v>
      </c>
      <c r="V29" s="6">
        <v>12.63</v>
      </c>
      <c r="W29" s="17">
        <v>50</v>
      </c>
      <c r="X29" s="6">
        <v>12.63</v>
      </c>
      <c r="Y29" s="17">
        <v>50</v>
      </c>
      <c r="Z29" s="6">
        <v>12.63</v>
      </c>
      <c r="AA29" s="17">
        <v>50</v>
      </c>
      <c r="AB29" s="6">
        <v>12.63</v>
      </c>
      <c r="AD29" s="18"/>
    </row>
    <row r="30" spans="1:30" ht="12.75">
      <c r="A30" s="6" t="s">
        <v>16</v>
      </c>
      <c r="B30" s="51" t="s">
        <v>140</v>
      </c>
      <c r="C30" s="27" t="s">
        <v>108</v>
      </c>
      <c r="D30">
        <v>499</v>
      </c>
      <c r="E30" s="3">
        <v>66.19</v>
      </c>
      <c r="F30">
        <v>505</v>
      </c>
      <c r="G30" s="54">
        <v>67</v>
      </c>
      <c r="H30" s="17">
        <v>693</v>
      </c>
      <c r="I30" s="3">
        <v>91.92</v>
      </c>
      <c r="J30" s="17">
        <v>423</v>
      </c>
      <c r="K30" s="6">
        <v>56.1</v>
      </c>
      <c r="L30" s="17">
        <v>346</v>
      </c>
      <c r="M30" s="6">
        <v>45.69</v>
      </c>
      <c r="O30" s="28">
        <v>957</v>
      </c>
      <c r="P30" s="6">
        <v>126.39</v>
      </c>
      <c r="Q30" s="17">
        <v>3001</v>
      </c>
      <c r="R30" s="6">
        <v>396.31</v>
      </c>
      <c r="S30" s="17">
        <v>1010</v>
      </c>
      <c r="T30" s="6">
        <v>133.39</v>
      </c>
      <c r="U30" s="17">
        <v>1267</v>
      </c>
      <c r="V30" s="6">
        <v>167.33</v>
      </c>
      <c r="W30" s="17">
        <v>1564</v>
      </c>
      <c r="X30" s="6">
        <v>206.54</v>
      </c>
      <c r="Y30" s="17">
        <v>1563</v>
      </c>
      <c r="Z30" s="6">
        <v>206.4</v>
      </c>
      <c r="AA30" s="17">
        <v>744</v>
      </c>
      <c r="AB30" s="6">
        <v>98.26</v>
      </c>
      <c r="AD30" s="18"/>
    </row>
    <row r="31" spans="1:30" ht="12.75">
      <c r="A31" s="6" t="s">
        <v>17</v>
      </c>
      <c r="B31" s="51" t="s">
        <v>141</v>
      </c>
      <c r="C31" s="27" t="s">
        <v>109</v>
      </c>
      <c r="D31">
        <v>18000</v>
      </c>
      <c r="E31" s="3">
        <v>2028.64</v>
      </c>
      <c r="F31">
        <v>11360</v>
      </c>
      <c r="G31" s="54">
        <v>1398.45</v>
      </c>
      <c r="H31" s="17">
        <v>8040</v>
      </c>
      <c r="I31" s="3">
        <v>1083.34</v>
      </c>
      <c r="J31" s="17">
        <v>3960</v>
      </c>
      <c r="K31" s="6">
        <v>696.12</v>
      </c>
      <c r="L31" s="17">
        <v>3640</v>
      </c>
      <c r="M31" s="6">
        <v>662.71</v>
      </c>
      <c r="O31" s="28">
        <v>4960</v>
      </c>
      <c r="P31" s="6">
        <v>786.89</v>
      </c>
      <c r="Q31" s="17">
        <v>6440</v>
      </c>
      <c r="R31" s="6">
        <v>928.48</v>
      </c>
      <c r="S31" s="17">
        <v>5080</v>
      </c>
      <c r="T31" s="6">
        <v>800.55</v>
      </c>
      <c r="U31" s="17">
        <v>7920</v>
      </c>
      <c r="V31" s="6">
        <v>1046.47</v>
      </c>
      <c r="W31" s="17">
        <v>9200</v>
      </c>
      <c r="X31" s="6">
        <v>1166.88</v>
      </c>
      <c r="Y31" s="17">
        <v>14600</v>
      </c>
      <c r="Z31" s="6">
        <v>1674.88</v>
      </c>
      <c r="AA31" s="17">
        <v>14000</v>
      </c>
      <c r="AB31" s="6">
        <v>1675.13</v>
      </c>
      <c r="AD31" s="18"/>
    </row>
    <row r="32" spans="1:30" ht="12.75">
      <c r="A32" s="6" t="s">
        <v>18</v>
      </c>
      <c r="B32" s="51" t="s">
        <v>142</v>
      </c>
      <c r="C32" s="28" t="s">
        <v>110</v>
      </c>
      <c r="D32">
        <v>2862</v>
      </c>
      <c r="E32" s="3">
        <v>371</v>
      </c>
      <c r="F32">
        <v>2596</v>
      </c>
      <c r="G32" s="54">
        <v>345.74</v>
      </c>
      <c r="H32" s="17">
        <v>2168</v>
      </c>
      <c r="I32" s="3">
        <v>306.63</v>
      </c>
      <c r="J32" s="56">
        <v>1939</v>
      </c>
      <c r="K32" s="6">
        <v>283.41</v>
      </c>
      <c r="L32" s="17">
        <v>2505</v>
      </c>
      <c r="M32" s="6">
        <v>345.05</v>
      </c>
      <c r="O32" s="28">
        <v>3068</v>
      </c>
      <c r="P32" s="6">
        <v>398.03</v>
      </c>
      <c r="Q32" s="17">
        <v>2842</v>
      </c>
      <c r="R32" s="6">
        <v>384.54</v>
      </c>
      <c r="S32" s="17">
        <v>2724</v>
      </c>
      <c r="T32" s="6">
        <v>373.46</v>
      </c>
      <c r="U32" s="17">
        <v>3516</v>
      </c>
      <c r="V32" s="6">
        <v>469.2</v>
      </c>
      <c r="W32" s="17">
        <v>3238</v>
      </c>
      <c r="X32" s="6">
        <v>435.98</v>
      </c>
      <c r="Y32" s="17">
        <v>5464</v>
      </c>
      <c r="Z32" s="6">
        <v>659.56</v>
      </c>
      <c r="AA32" s="17">
        <v>5110</v>
      </c>
      <c r="AB32" s="6">
        <v>619.16</v>
      </c>
      <c r="AD32" s="18"/>
    </row>
    <row r="33" spans="1:30" ht="12.75">
      <c r="A33" s="6" t="s">
        <v>19</v>
      </c>
      <c r="B33" s="51" t="s">
        <v>143</v>
      </c>
      <c r="C33" s="28" t="s">
        <v>111</v>
      </c>
      <c r="D33">
        <v>11640</v>
      </c>
      <c r="E33" s="3">
        <v>1425.02</v>
      </c>
      <c r="F33">
        <v>9280</v>
      </c>
      <c r="G33" s="54">
        <v>1158.87</v>
      </c>
      <c r="H33" s="17">
        <v>7840</v>
      </c>
      <c r="I33" s="3">
        <v>1029.23</v>
      </c>
      <c r="J33" s="17">
        <v>7320</v>
      </c>
      <c r="K33" s="6">
        <v>947.97</v>
      </c>
      <c r="L33" s="17">
        <v>6440</v>
      </c>
      <c r="M33" s="6">
        <v>854.58</v>
      </c>
      <c r="O33" s="28">
        <v>8480</v>
      </c>
      <c r="P33" s="6">
        <v>1049.5</v>
      </c>
      <c r="Q33" s="17">
        <v>8200</v>
      </c>
      <c r="R33" s="6">
        <v>1026.29</v>
      </c>
      <c r="S33" s="17">
        <v>7080</v>
      </c>
      <c r="T33" s="6">
        <v>920.93</v>
      </c>
      <c r="U33" s="17">
        <v>9040</v>
      </c>
      <c r="V33" s="6">
        <v>1173.09</v>
      </c>
      <c r="W33" s="17">
        <v>9680</v>
      </c>
      <c r="X33" s="6">
        <v>1247.48</v>
      </c>
      <c r="Y33" s="17">
        <v>6840</v>
      </c>
      <c r="Z33" s="6">
        <v>888.56</v>
      </c>
      <c r="AA33" s="17">
        <v>6280</v>
      </c>
      <c r="AB33" s="6">
        <v>848.33</v>
      </c>
      <c r="AD33" s="18"/>
    </row>
    <row r="34" spans="1:30" ht="12.75">
      <c r="A34" s="6" t="s">
        <v>20</v>
      </c>
      <c r="B34" s="51" t="s">
        <v>144</v>
      </c>
      <c r="C34" s="27" t="s">
        <v>112</v>
      </c>
      <c r="D34">
        <v>400</v>
      </c>
      <c r="E34" s="3">
        <v>240.4</v>
      </c>
      <c r="F34">
        <v>400</v>
      </c>
      <c r="G34" s="54">
        <v>240.4</v>
      </c>
      <c r="H34" s="17">
        <v>320</v>
      </c>
      <c r="I34" s="3">
        <v>232.8</v>
      </c>
      <c r="J34" s="17">
        <v>320</v>
      </c>
      <c r="K34" s="6">
        <v>232.8</v>
      </c>
      <c r="L34" s="17">
        <v>320</v>
      </c>
      <c r="M34" s="6">
        <v>232.53</v>
      </c>
      <c r="O34" s="28">
        <v>360</v>
      </c>
      <c r="P34" s="6">
        <v>249.79</v>
      </c>
      <c r="Q34" s="17">
        <v>720</v>
      </c>
      <c r="R34" s="6">
        <v>340.8</v>
      </c>
      <c r="S34" s="58">
        <v>800</v>
      </c>
      <c r="T34" s="6">
        <v>348.34</v>
      </c>
      <c r="U34" s="17">
        <v>840</v>
      </c>
      <c r="V34" s="3">
        <v>380.43</v>
      </c>
      <c r="W34" s="17">
        <v>840</v>
      </c>
      <c r="X34" s="6">
        <v>380.43</v>
      </c>
      <c r="Y34" s="17">
        <v>880</v>
      </c>
      <c r="Z34" s="6">
        <v>311.97</v>
      </c>
      <c r="AA34" s="17">
        <v>560</v>
      </c>
      <c r="AB34" s="6">
        <v>250.78</v>
      </c>
      <c r="AD34" s="18"/>
    </row>
    <row r="35" spans="1:30" s="38" customFormat="1" ht="12.75">
      <c r="A35" s="6" t="s">
        <v>21</v>
      </c>
      <c r="B35" s="51" t="s">
        <v>145</v>
      </c>
      <c r="C35" s="41" t="s">
        <v>113</v>
      </c>
      <c r="D35" s="38">
        <v>1143</v>
      </c>
      <c r="E35" s="3">
        <v>209.19</v>
      </c>
      <c r="F35" s="38">
        <v>848</v>
      </c>
      <c r="G35" s="54">
        <v>181.18</v>
      </c>
      <c r="H35" s="38">
        <v>684</v>
      </c>
      <c r="I35" s="3">
        <v>177.64</v>
      </c>
      <c r="J35" s="38">
        <v>1859</v>
      </c>
      <c r="K35" s="6">
        <v>289.15</v>
      </c>
      <c r="L35" s="38">
        <v>2161</v>
      </c>
      <c r="M35" s="6">
        <v>315.99</v>
      </c>
      <c r="O35" s="38">
        <v>2961</v>
      </c>
      <c r="P35" s="6">
        <v>394.98</v>
      </c>
      <c r="Q35" s="38">
        <v>1596</v>
      </c>
      <c r="R35" s="6">
        <v>295.66</v>
      </c>
      <c r="S35" s="17">
        <v>966</v>
      </c>
      <c r="T35" s="6">
        <v>236.41</v>
      </c>
      <c r="U35" s="17">
        <v>1210</v>
      </c>
      <c r="V35" s="6">
        <v>228.58</v>
      </c>
      <c r="W35" s="17">
        <v>916</v>
      </c>
      <c r="X35" s="3">
        <v>196.27</v>
      </c>
      <c r="Y35" s="17">
        <v>870</v>
      </c>
      <c r="Z35" s="6">
        <v>184.16</v>
      </c>
      <c r="AA35" s="17">
        <v>835</v>
      </c>
      <c r="AB35" s="6">
        <v>182.42</v>
      </c>
      <c r="AD35" s="58"/>
    </row>
    <row r="36" spans="1:30" s="38" customFormat="1" ht="12.75">
      <c r="A36" s="26" t="s">
        <v>150</v>
      </c>
      <c r="B36" s="51" t="s">
        <v>148</v>
      </c>
      <c r="C36" s="27" t="s">
        <v>149</v>
      </c>
      <c r="E36" s="3"/>
      <c r="G36" s="54"/>
      <c r="I36" s="3"/>
      <c r="J36" s="17">
        <v>188</v>
      </c>
      <c r="K36" s="6">
        <v>81.51</v>
      </c>
      <c r="M36" s="6"/>
      <c r="P36" s="6"/>
      <c r="R36" s="6"/>
      <c r="S36" s="17">
        <v>1758</v>
      </c>
      <c r="T36" s="6">
        <v>212.64</v>
      </c>
      <c r="U36" s="17">
        <v>0</v>
      </c>
      <c r="V36" s="6">
        <v>18</v>
      </c>
      <c r="W36" s="17">
        <v>0</v>
      </c>
      <c r="X36" s="3">
        <v>13.8</v>
      </c>
      <c r="Z36" s="6"/>
      <c r="AB36" s="6"/>
      <c r="AC36"/>
      <c r="AD36" s="18"/>
    </row>
    <row r="37" spans="1:30" ht="12.75">
      <c r="A37" s="6" t="s">
        <v>151</v>
      </c>
      <c r="B37" s="50" t="s">
        <v>152</v>
      </c>
      <c r="C37" s="27" t="s">
        <v>153</v>
      </c>
      <c r="G37" s="54"/>
      <c r="I37" s="3"/>
      <c r="Q37" s="38">
        <v>0</v>
      </c>
      <c r="R37" s="6">
        <f>SUM(W27)</f>
        <v>49600</v>
      </c>
      <c r="S37" s="17">
        <v>31</v>
      </c>
      <c r="T37" s="6">
        <v>61.66</v>
      </c>
      <c r="U37" s="17">
        <v>248</v>
      </c>
      <c r="V37" s="6">
        <v>32.38</v>
      </c>
      <c r="W37" s="17">
        <v>0</v>
      </c>
      <c r="X37" s="6">
        <v>53.95</v>
      </c>
      <c r="Y37" s="17">
        <v>0</v>
      </c>
      <c r="Z37" s="6">
        <v>3.58</v>
      </c>
      <c r="AA37" s="17">
        <v>72</v>
      </c>
      <c r="AB37" s="6">
        <v>11.96</v>
      </c>
      <c r="AC37" s="34"/>
      <c r="AD37" s="35"/>
    </row>
    <row r="38" spans="1:34" s="61" customFormat="1" ht="12.75">
      <c r="A38" s="59"/>
      <c r="B38" s="60"/>
      <c r="D38" s="61">
        <f>SUM(D5:D35)</f>
        <v>550215</v>
      </c>
      <c r="E38" s="62">
        <f>SUM(E5:E35)</f>
        <v>71160.06999999999</v>
      </c>
      <c r="F38" s="61">
        <f>SUM(F5:F37)</f>
        <v>467558</v>
      </c>
      <c r="G38" s="63">
        <f>SUM(G5:G37)</f>
        <v>62261.02</v>
      </c>
      <c r="H38" s="61">
        <f>SUM(H4:H37)</f>
        <v>391869</v>
      </c>
      <c r="I38" s="62">
        <f>SUM(I5:I35)</f>
        <v>55782.81</v>
      </c>
      <c r="J38" s="59">
        <f>SUM(J5:J37)</f>
        <v>323592</v>
      </c>
      <c r="K38" s="62">
        <f>SUM(K5:K37)</f>
        <v>48072.49000000001</v>
      </c>
      <c r="L38" s="59">
        <f>SUM(L5:L37)</f>
        <v>317068</v>
      </c>
      <c r="M38" s="62">
        <f>SUM(M5:M37)</f>
        <v>48191.87</v>
      </c>
      <c r="O38" s="59">
        <f>SUM(O5:O37)</f>
        <v>424539</v>
      </c>
      <c r="P38" s="62">
        <v>59297.25</v>
      </c>
      <c r="Q38" s="64">
        <f aca="true" t="shared" si="0" ref="Q38:V38">SUM(Q5:Q37)</f>
        <v>355327</v>
      </c>
      <c r="R38" s="61">
        <f t="shared" si="0"/>
        <v>103178.08</v>
      </c>
      <c r="S38" s="67">
        <f t="shared" si="0"/>
        <v>322998</v>
      </c>
      <c r="T38" s="62">
        <f t="shared" si="0"/>
        <v>50648.189999999995</v>
      </c>
      <c r="U38" s="59">
        <f t="shared" si="0"/>
        <v>405721</v>
      </c>
      <c r="V38" s="62">
        <f t="shared" si="0"/>
        <v>58506.09999999999</v>
      </c>
      <c r="W38" s="59">
        <f aca="true" t="shared" si="1" ref="W38:AB38">SUM(W5:W37)</f>
        <v>450083</v>
      </c>
      <c r="X38" s="62">
        <f t="shared" si="1"/>
        <v>62171.51999999999</v>
      </c>
      <c r="Y38" s="59">
        <f t="shared" si="1"/>
        <v>412401</v>
      </c>
      <c r="Z38" s="62">
        <f t="shared" si="1"/>
        <v>57149.179999999986</v>
      </c>
      <c r="AA38" s="59">
        <f t="shared" si="1"/>
        <v>425065</v>
      </c>
      <c r="AB38" s="62">
        <f t="shared" si="1"/>
        <v>59194.59</v>
      </c>
      <c r="AC38" s="59">
        <f>SUM(AC6:AC36)</f>
        <v>0</v>
      </c>
      <c r="AD38" s="62">
        <f>SUM(AD6:AD36)</f>
        <v>0</v>
      </c>
      <c r="AE38" s="59"/>
      <c r="AF38" s="59"/>
      <c r="AG38" s="59"/>
      <c r="AH38" s="59"/>
    </row>
    <row r="39" spans="17:18" ht="12.75">
      <c r="Q39" s="65"/>
      <c r="R39" s="3"/>
    </row>
    <row r="50" spans="19:20" ht="12.75">
      <c r="S50" s="66">
        <f>SUM(S38)</f>
        <v>322998</v>
      </c>
      <c r="T50" s="3">
        <f>SUM(T38)</f>
        <v>50648.189999999995</v>
      </c>
    </row>
    <row r="65536" spans="17:22" ht="12.75">
      <c r="Q65536">
        <f>SUM(Q5:Q65535)</f>
        <v>710654</v>
      </c>
      <c r="R65536" s="6">
        <f>SUM(R5:R65535)</f>
        <v>206356.16</v>
      </c>
      <c r="S65536" s="66">
        <f>SUM(S38)</f>
        <v>322998</v>
      </c>
      <c r="T65536" s="3">
        <f>SUM(T38)</f>
        <v>50648.189999999995</v>
      </c>
      <c r="U65536">
        <f>SUM(U38)</f>
        <v>405721</v>
      </c>
      <c r="V65536" s="3">
        <f>SUM(S65536:U65536)</f>
        <v>779367.19</v>
      </c>
    </row>
  </sheetData>
  <sheetProtection/>
  <mergeCells count="12">
    <mergeCell ref="F2:G2"/>
    <mergeCell ref="D2:E2"/>
    <mergeCell ref="H2:I2"/>
    <mergeCell ref="J2:K2"/>
    <mergeCell ref="L2:M2"/>
    <mergeCell ref="O2:P2"/>
    <mergeCell ref="AA2:AB2"/>
    <mergeCell ref="Q2:R2"/>
    <mergeCell ref="S2:T2"/>
    <mergeCell ref="U2:V2"/>
    <mergeCell ref="W2:X2"/>
    <mergeCell ref="Y2:Z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3:H37"/>
  <sheetViews>
    <sheetView zoomScalePageLayoutView="0" workbookViewId="0" topLeftCell="A1">
      <selection activeCell="K27" sqref="K27"/>
    </sheetView>
  </sheetViews>
  <sheetFormatPr defaultColWidth="9.140625" defaultRowHeight="12.75"/>
  <cols>
    <col min="1" max="1" width="19.8515625" style="0" customWidth="1"/>
    <col min="6" max="6" width="4.28125" style="0" customWidth="1"/>
  </cols>
  <sheetData>
    <row r="3" spans="1:5" ht="12.75">
      <c r="A3" s="11"/>
      <c r="B3" s="12" t="s">
        <v>47</v>
      </c>
      <c r="C3" s="11"/>
      <c r="D3" s="44">
        <v>39234</v>
      </c>
      <c r="E3" s="11"/>
    </row>
    <row r="4" spans="1:8" ht="12.75">
      <c r="A4" s="14" t="s">
        <v>0</v>
      </c>
      <c r="B4" s="15" t="s">
        <v>35</v>
      </c>
      <c r="C4" s="16" t="s">
        <v>36</v>
      </c>
      <c r="D4" s="15" t="s">
        <v>35</v>
      </c>
      <c r="E4" s="16" t="s">
        <v>36</v>
      </c>
      <c r="G4" s="36" t="s">
        <v>35</v>
      </c>
      <c r="H4" s="37"/>
    </row>
    <row r="5" spans="1:5" ht="12.75">
      <c r="A5" s="5"/>
      <c r="B5" s="24"/>
      <c r="C5" s="25"/>
      <c r="D5" s="24"/>
      <c r="E5" s="25"/>
    </row>
    <row r="6" spans="1:7" ht="12.75">
      <c r="A6" s="26" t="s">
        <v>50</v>
      </c>
      <c r="B6">
        <v>640</v>
      </c>
      <c r="C6" s="3">
        <v>112.55</v>
      </c>
      <c r="D6" s="17">
        <v>640</v>
      </c>
      <c r="E6" s="6">
        <v>115.19</v>
      </c>
      <c r="G6">
        <f aca="true" t="shared" si="0" ref="G6:G35">D6-B6</f>
        <v>0</v>
      </c>
    </row>
    <row r="7" spans="1:7" ht="12.75">
      <c r="A7" s="6" t="s">
        <v>1</v>
      </c>
      <c r="B7" s="17">
        <v>17</v>
      </c>
      <c r="C7" s="6">
        <v>5.23</v>
      </c>
      <c r="D7" s="17">
        <v>23</v>
      </c>
      <c r="E7" s="6">
        <v>6.09</v>
      </c>
      <c r="G7">
        <f t="shared" si="0"/>
        <v>6</v>
      </c>
    </row>
    <row r="8" spans="1:7" ht="12.75">
      <c r="A8" s="6" t="s">
        <v>1</v>
      </c>
      <c r="B8" s="17">
        <v>748</v>
      </c>
      <c r="C8" s="6">
        <v>114.91</v>
      </c>
      <c r="D8" s="17">
        <v>748</v>
      </c>
      <c r="E8" s="6">
        <v>117.97</v>
      </c>
      <c r="G8">
        <f t="shared" si="0"/>
        <v>0</v>
      </c>
    </row>
    <row r="9" spans="1:7" ht="12.75">
      <c r="A9" s="6" t="s">
        <v>1</v>
      </c>
      <c r="B9" s="17">
        <v>50</v>
      </c>
      <c r="C9" s="6">
        <v>12.24</v>
      </c>
      <c r="D9" s="17">
        <v>50</v>
      </c>
      <c r="E9" s="6">
        <v>12.45</v>
      </c>
      <c r="G9">
        <f t="shared" si="0"/>
        <v>0</v>
      </c>
    </row>
    <row r="10" spans="1:7" ht="12.75">
      <c r="A10" s="6" t="s">
        <v>1</v>
      </c>
      <c r="B10" s="17">
        <v>5840</v>
      </c>
      <c r="C10" s="6">
        <v>1321.22</v>
      </c>
      <c r="D10" s="17">
        <v>5520</v>
      </c>
      <c r="E10" s="6">
        <v>1241.55</v>
      </c>
      <c r="G10">
        <f t="shared" si="0"/>
        <v>-320</v>
      </c>
    </row>
    <row r="11" spans="1:7" ht="12.75">
      <c r="A11" s="6" t="s">
        <v>2</v>
      </c>
      <c r="B11" s="17">
        <v>148800</v>
      </c>
      <c r="C11" s="6">
        <v>16937.69</v>
      </c>
      <c r="D11" s="17">
        <v>116800</v>
      </c>
      <c r="E11" s="6">
        <v>14364.16</v>
      </c>
      <c r="G11">
        <f t="shared" si="0"/>
        <v>-32000</v>
      </c>
    </row>
    <row r="12" spans="1:7" ht="12.75">
      <c r="A12" s="6" t="s">
        <v>2</v>
      </c>
      <c r="B12" s="17">
        <v>71</v>
      </c>
      <c r="C12" s="6">
        <v>14.35</v>
      </c>
      <c r="D12" s="17">
        <v>71</v>
      </c>
      <c r="E12" s="6">
        <v>14.64</v>
      </c>
      <c r="G12">
        <f t="shared" si="0"/>
        <v>0</v>
      </c>
    </row>
    <row r="13" spans="1:7" ht="12.75">
      <c r="A13" s="6" t="s">
        <v>2</v>
      </c>
      <c r="B13" s="17">
        <v>160</v>
      </c>
      <c r="C13" s="6">
        <v>28.13</v>
      </c>
      <c r="D13" s="17">
        <v>160</v>
      </c>
      <c r="E13" s="6">
        <v>28.78</v>
      </c>
      <c r="G13">
        <f t="shared" si="0"/>
        <v>0</v>
      </c>
    </row>
    <row r="14" spans="1:7" ht="12.75">
      <c r="A14" s="6" t="s">
        <v>2</v>
      </c>
      <c r="B14" s="17">
        <v>374</v>
      </c>
      <c r="C14" s="6">
        <v>57.44</v>
      </c>
      <c r="D14" s="17">
        <v>374</v>
      </c>
      <c r="E14" s="6">
        <v>58.98</v>
      </c>
      <c r="G14">
        <f t="shared" si="0"/>
        <v>0</v>
      </c>
    </row>
    <row r="15" spans="1:7" ht="12.75">
      <c r="A15" s="6" t="s">
        <v>3</v>
      </c>
      <c r="B15" s="17">
        <v>11160</v>
      </c>
      <c r="C15" s="6">
        <v>1298.89</v>
      </c>
      <c r="D15" s="17">
        <v>8240</v>
      </c>
      <c r="E15" s="6">
        <v>1093.66</v>
      </c>
      <c r="G15">
        <f t="shared" si="0"/>
        <v>-2920</v>
      </c>
    </row>
    <row r="16" spans="1:7" ht="12.75">
      <c r="A16" s="6" t="s">
        <v>34</v>
      </c>
      <c r="B16" s="17">
        <v>113040</v>
      </c>
      <c r="C16" s="6">
        <v>12527.57</v>
      </c>
      <c r="D16" s="17">
        <v>64560</v>
      </c>
      <c r="E16" s="6">
        <v>8580.74</v>
      </c>
      <c r="G16">
        <f t="shared" si="0"/>
        <v>-48480</v>
      </c>
    </row>
    <row r="17" spans="1:7" ht="12.75">
      <c r="A17" s="6" t="s">
        <v>4</v>
      </c>
      <c r="B17" s="17">
        <v>18</v>
      </c>
      <c r="C17" s="6">
        <v>18.54</v>
      </c>
      <c r="D17" s="17">
        <v>14</v>
      </c>
      <c r="E17" s="6">
        <v>13.82</v>
      </c>
      <c r="G17">
        <f t="shared" si="0"/>
        <v>-4</v>
      </c>
    </row>
    <row r="18" spans="1:7" ht="12.75">
      <c r="A18" s="6" t="s">
        <v>5</v>
      </c>
      <c r="B18" s="17">
        <v>64400</v>
      </c>
      <c r="C18" s="6">
        <v>7795.43</v>
      </c>
      <c r="D18" s="17">
        <v>43200</v>
      </c>
      <c r="E18" s="6">
        <v>5973.57</v>
      </c>
      <c r="G18">
        <f t="shared" si="0"/>
        <v>-21200</v>
      </c>
    </row>
    <row r="19" spans="1:7" ht="12.75">
      <c r="A19" s="6" t="s">
        <v>6</v>
      </c>
      <c r="B19" s="17">
        <v>26800</v>
      </c>
      <c r="C19" s="6">
        <v>3362.67</v>
      </c>
      <c r="D19" s="17">
        <v>21120</v>
      </c>
      <c r="E19" s="6">
        <v>2873.91</v>
      </c>
      <c r="G19">
        <f t="shared" si="0"/>
        <v>-5680</v>
      </c>
    </row>
    <row r="20" spans="1:7" ht="12.75">
      <c r="A20" s="6" t="s">
        <v>7</v>
      </c>
      <c r="B20" s="17">
        <v>496</v>
      </c>
      <c r="C20" s="6">
        <v>133.69</v>
      </c>
      <c r="D20" s="17">
        <v>4</v>
      </c>
      <c r="E20" s="6">
        <v>88.66</v>
      </c>
      <c r="G20">
        <f t="shared" si="0"/>
        <v>-492</v>
      </c>
    </row>
    <row r="21" spans="1:7" ht="12.75">
      <c r="A21" s="6" t="s">
        <v>8</v>
      </c>
      <c r="B21" s="17">
        <v>269</v>
      </c>
      <c r="C21" s="6">
        <v>36.6</v>
      </c>
      <c r="D21" s="17">
        <v>0</v>
      </c>
      <c r="E21" s="6">
        <v>3.11</v>
      </c>
      <c r="G21">
        <f t="shared" si="0"/>
        <v>-269</v>
      </c>
    </row>
    <row r="22" spans="1:7" ht="12.75">
      <c r="A22" s="6" t="s">
        <v>9</v>
      </c>
      <c r="B22" s="17">
        <v>1889</v>
      </c>
      <c r="C22" s="6">
        <v>260.59</v>
      </c>
      <c r="D22" s="17">
        <v>1655</v>
      </c>
      <c r="E22" s="6">
        <v>242.76</v>
      </c>
      <c r="G22">
        <f t="shared" si="0"/>
        <v>-234</v>
      </c>
    </row>
    <row r="23" spans="1:7" ht="12.75">
      <c r="A23" s="6" t="s">
        <v>10</v>
      </c>
      <c r="B23" s="17">
        <v>13240</v>
      </c>
      <c r="C23" s="6">
        <v>1391.94</v>
      </c>
      <c r="D23" s="17">
        <v>13640</v>
      </c>
      <c r="E23" s="6">
        <v>1510.45</v>
      </c>
      <c r="G23">
        <f t="shared" si="0"/>
        <v>400</v>
      </c>
    </row>
    <row r="24" spans="1:7" ht="12.75">
      <c r="A24" s="6" t="s">
        <v>54</v>
      </c>
      <c r="B24" s="17">
        <v>4080</v>
      </c>
      <c r="C24" s="6">
        <v>1600.66</v>
      </c>
      <c r="D24" s="17">
        <v>4440</v>
      </c>
      <c r="E24" s="6">
        <v>1993.39</v>
      </c>
      <c r="G24">
        <f t="shared" si="0"/>
        <v>360</v>
      </c>
    </row>
    <row r="25" spans="1:7" ht="12.75">
      <c r="A25" s="6" t="s">
        <v>12</v>
      </c>
      <c r="B25" s="17">
        <v>66000</v>
      </c>
      <c r="C25" s="6">
        <v>9804.75</v>
      </c>
      <c r="D25" s="17">
        <v>51200</v>
      </c>
      <c r="E25" s="6">
        <v>7886.72</v>
      </c>
      <c r="G25">
        <f t="shared" si="0"/>
        <v>-14800</v>
      </c>
    </row>
    <row r="26" spans="1:7" ht="12.75">
      <c r="A26" s="6" t="s">
        <v>13</v>
      </c>
      <c r="B26" s="17">
        <v>6592</v>
      </c>
      <c r="C26" s="6">
        <v>1013.68</v>
      </c>
      <c r="D26" s="17">
        <v>677</v>
      </c>
      <c r="E26" s="6">
        <v>454.15</v>
      </c>
      <c r="G26">
        <f t="shared" si="0"/>
        <v>-5915</v>
      </c>
    </row>
    <row r="27" spans="1:7" ht="12.75">
      <c r="A27" s="6" t="s">
        <v>14</v>
      </c>
      <c r="B27" s="17">
        <v>71600</v>
      </c>
      <c r="C27" s="6">
        <v>7882.54</v>
      </c>
      <c r="D27" s="17">
        <v>36800</v>
      </c>
      <c r="E27" s="6">
        <v>4913.58</v>
      </c>
      <c r="G27">
        <f t="shared" si="0"/>
        <v>-34800</v>
      </c>
    </row>
    <row r="28" spans="1:7" ht="12.75">
      <c r="A28" s="6" t="s">
        <v>15</v>
      </c>
      <c r="B28" s="17">
        <v>227</v>
      </c>
      <c r="C28" s="6">
        <v>31.36</v>
      </c>
      <c r="D28" s="17">
        <v>141</v>
      </c>
      <c r="E28" s="6">
        <v>21.42</v>
      </c>
      <c r="G28">
        <f t="shared" si="0"/>
        <v>-86</v>
      </c>
    </row>
    <row r="29" spans="1:7" ht="12.75">
      <c r="A29" s="6" t="s">
        <v>15</v>
      </c>
      <c r="B29" s="17">
        <v>50</v>
      </c>
      <c r="C29" s="6">
        <v>12.24</v>
      </c>
      <c r="D29" s="17">
        <v>50</v>
      </c>
      <c r="E29" s="6">
        <v>12.45</v>
      </c>
      <c r="G29">
        <f t="shared" si="0"/>
        <v>0</v>
      </c>
    </row>
    <row r="30" spans="1:7" ht="12.75">
      <c r="A30" s="6" t="s">
        <v>16</v>
      </c>
      <c r="B30" s="17">
        <v>678</v>
      </c>
      <c r="C30" s="6">
        <v>86.92</v>
      </c>
      <c r="D30" s="17">
        <v>812</v>
      </c>
      <c r="E30" s="6">
        <v>106.95</v>
      </c>
      <c r="G30">
        <f t="shared" si="0"/>
        <v>134</v>
      </c>
    </row>
    <row r="31" spans="1:7" ht="12.75">
      <c r="A31" s="6" t="s">
        <v>17</v>
      </c>
      <c r="B31" s="17">
        <v>12680</v>
      </c>
      <c r="C31" s="6">
        <v>1435.96</v>
      </c>
      <c r="D31" s="17">
        <v>9800</v>
      </c>
      <c r="E31" s="6">
        <v>1193.46</v>
      </c>
      <c r="G31">
        <f t="shared" si="0"/>
        <v>-2880</v>
      </c>
    </row>
    <row r="32" spans="1:7" ht="12.75">
      <c r="A32" s="6" t="s">
        <v>18</v>
      </c>
      <c r="B32" s="17">
        <v>3177</v>
      </c>
      <c r="C32" s="6">
        <v>399.98</v>
      </c>
      <c r="D32" s="17">
        <v>2491</v>
      </c>
      <c r="E32" s="6">
        <v>338.56</v>
      </c>
      <c r="G32">
        <f t="shared" si="0"/>
        <v>-686</v>
      </c>
    </row>
    <row r="33" spans="1:7" ht="12.75">
      <c r="A33" s="6" t="s">
        <v>19</v>
      </c>
      <c r="B33" s="17">
        <v>11800</v>
      </c>
      <c r="C33" s="6">
        <v>1423.29</v>
      </c>
      <c r="D33" s="17">
        <v>8360</v>
      </c>
      <c r="E33" s="6">
        <v>1054.45</v>
      </c>
      <c r="G33">
        <f t="shared" si="0"/>
        <v>-3440</v>
      </c>
    </row>
    <row r="34" spans="1:7" ht="12.75">
      <c r="A34" s="6" t="s">
        <v>20</v>
      </c>
      <c r="B34" s="17">
        <v>920</v>
      </c>
      <c r="C34" s="6">
        <v>348.84</v>
      </c>
      <c r="D34" s="17">
        <v>840</v>
      </c>
      <c r="E34" s="6">
        <v>289.11</v>
      </c>
      <c r="G34">
        <f t="shared" si="0"/>
        <v>-80</v>
      </c>
    </row>
    <row r="35" spans="1:7" ht="12.75">
      <c r="A35" s="8" t="s">
        <v>21</v>
      </c>
      <c r="B35" s="9">
        <v>583</v>
      </c>
      <c r="C35" s="10">
        <v>125</v>
      </c>
      <c r="D35" s="9">
        <v>606</v>
      </c>
      <c r="E35" s="8">
        <v>157.19</v>
      </c>
      <c r="G35" s="9">
        <f t="shared" si="0"/>
        <v>23</v>
      </c>
    </row>
    <row r="36" spans="1:5" ht="12.75">
      <c r="A36" s="6"/>
      <c r="C36" s="6"/>
      <c r="E36" s="6"/>
    </row>
    <row r="37" spans="1:7" ht="12.75">
      <c r="A37" s="8"/>
      <c r="B37" s="9">
        <f>SUM(B6:B35)</f>
        <v>566399</v>
      </c>
      <c r="C37" s="10">
        <v>69594.9</v>
      </c>
      <c r="D37" s="9">
        <f>SUM(D6:D36)</f>
        <v>393036</v>
      </c>
      <c r="E37" s="8">
        <f>SUM(E6:E36)</f>
        <v>54761.91999999999</v>
      </c>
      <c r="G37" s="9">
        <f>D37-B37</f>
        <v>-173363</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H65536"/>
  <sheetViews>
    <sheetView zoomScalePageLayoutView="0" workbookViewId="0" topLeftCell="W1">
      <selection activeCell="S1" sqref="A1:IV16384"/>
    </sheetView>
  </sheetViews>
  <sheetFormatPr defaultColWidth="9.140625" defaultRowHeight="12.75"/>
  <cols>
    <col min="1" max="1" width="20.00390625" style="6" customWidth="1"/>
    <col min="2" max="2" width="20.00390625" style="50" customWidth="1"/>
    <col min="3" max="3" width="26.421875" style="38" customWidth="1"/>
    <col min="4" max="4" width="8.421875" style="0" customWidth="1"/>
    <col min="5" max="5" width="9.7109375" style="3" customWidth="1"/>
    <col min="6" max="6" width="8.57421875" style="0" customWidth="1"/>
    <col min="7" max="7" width="9.57421875" style="6" customWidth="1"/>
    <col min="8" max="8" width="8.7109375" style="0" customWidth="1"/>
    <col min="9" max="9" width="9.421875" style="6" customWidth="1"/>
    <col min="10" max="10" width="9.57421875" style="0" customWidth="1"/>
    <col min="11" max="11" width="9.140625" style="6" customWidth="1"/>
    <col min="12" max="12" width="7.57421875" style="0" customWidth="1"/>
    <col min="13" max="13" width="9.140625" style="6" customWidth="1"/>
    <col min="14" max="14" width="0" style="38" hidden="1" customWidth="1"/>
    <col min="15" max="15" width="8.57421875" style="0" customWidth="1"/>
    <col min="16" max="16" width="9.140625" style="6" customWidth="1"/>
    <col min="17" max="17" width="10.421875" style="0" customWidth="1"/>
    <col min="18" max="18" width="10.7109375" style="6" customWidth="1"/>
    <col min="19" max="19" width="11.28125" style="0" customWidth="1"/>
    <col min="20" max="20" width="10.8515625" style="6" customWidth="1"/>
    <col min="21" max="21" width="11.140625" style="0" customWidth="1"/>
    <col min="22" max="22" width="9.140625" style="6" customWidth="1"/>
    <col min="23" max="23" width="12.00390625" style="0" customWidth="1"/>
    <col min="24" max="24" width="11.00390625" style="6" customWidth="1"/>
    <col min="25" max="25" width="11.8515625" style="0" customWidth="1"/>
    <col min="26" max="26" width="10.421875" style="6" customWidth="1"/>
    <col min="27" max="27" width="10.8515625" style="0" customWidth="1"/>
    <col min="28" max="28" width="9.7109375" style="6" customWidth="1"/>
    <col min="30" max="30" width="12.00390625" style="0" customWidth="1"/>
  </cols>
  <sheetData>
    <row r="1" spans="1:29" s="12" customFormat="1" ht="12.75">
      <c r="A1" s="11"/>
      <c r="B1" s="47"/>
      <c r="D1" s="221" t="s">
        <v>154</v>
      </c>
      <c r="E1" s="218"/>
      <c r="F1" s="217" t="s">
        <v>155</v>
      </c>
      <c r="G1" s="218"/>
      <c r="H1" s="217" t="s">
        <v>156</v>
      </c>
      <c r="I1" s="218"/>
      <c r="J1" s="219" t="s">
        <v>161</v>
      </c>
      <c r="K1" s="224"/>
      <c r="L1" s="219" t="s">
        <v>157</v>
      </c>
      <c r="M1" s="224"/>
      <c r="O1" s="219" t="s">
        <v>158</v>
      </c>
      <c r="P1" s="224"/>
      <c r="Q1" s="219" t="s">
        <v>159</v>
      </c>
      <c r="R1" s="224"/>
      <c r="S1" s="219" t="s">
        <v>160</v>
      </c>
      <c r="T1" s="224"/>
      <c r="U1" s="219" t="s">
        <v>162</v>
      </c>
      <c r="V1" s="224"/>
      <c r="W1" s="219" t="s">
        <v>163</v>
      </c>
      <c r="X1" s="224"/>
      <c r="Y1" s="219" t="s">
        <v>164</v>
      </c>
      <c r="Z1" s="224"/>
      <c r="AA1" s="219" t="s">
        <v>165</v>
      </c>
      <c r="AB1" s="224"/>
      <c r="AC1" s="12" t="s">
        <v>37</v>
      </c>
    </row>
    <row r="2" spans="1:30" s="15" customFormat="1" ht="12.75">
      <c r="A2" s="14" t="s">
        <v>0</v>
      </c>
      <c r="B2" s="48"/>
      <c r="C2" s="15" t="s">
        <v>87</v>
      </c>
      <c r="D2" s="15" t="s">
        <v>35</v>
      </c>
      <c r="E2" s="16" t="s">
        <v>36</v>
      </c>
      <c r="F2" s="15" t="s">
        <v>35</v>
      </c>
      <c r="G2" s="14" t="s">
        <v>36</v>
      </c>
      <c r="H2" s="15" t="s">
        <v>35</v>
      </c>
      <c r="I2" s="16" t="s">
        <v>36</v>
      </c>
      <c r="J2" s="15" t="s">
        <v>35</v>
      </c>
      <c r="K2" s="16" t="s">
        <v>36</v>
      </c>
      <c r="L2" s="15" t="s">
        <v>35</v>
      </c>
      <c r="M2" s="16" t="s">
        <v>36</v>
      </c>
      <c r="O2" s="15" t="s">
        <v>35</v>
      </c>
      <c r="P2" s="16" t="s">
        <v>36</v>
      </c>
      <c r="Q2" s="15" t="s">
        <v>35</v>
      </c>
      <c r="R2" s="16" t="s">
        <v>36</v>
      </c>
      <c r="S2" s="15" t="s">
        <v>35</v>
      </c>
      <c r="T2" s="16" t="s">
        <v>36</v>
      </c>
      <c r="U2" s="15" t="s">
        <v>35</v>
      </c>
      <c r="V2" s="16" t="s">
        <v>36</v>
      </c>
      <c r="W2" s="15" t="s">
        <v>35</v>
      </c>
      <c r="X2" s="16" t="s">
        <v>36</v>
      </c>
      <c r="Y2" s="30" t="s">
        <v>35</v>
      </c>
      <c r="Z2" s="16" t="s">
        <v>36</v>
      </c>
      <c r="AA2" s="15" t="s">
        <v>35</v>
      </c>
      <c r="AB2" s="16" t="s">
        <v>36</v>
      </c>
      <c r="AC2" s="15" t="s">
        <v>35</v>
      </c>
      <c r="AD2" s="15" t="s">
        <v>36</v>
      </c>
    </row>
    <row r="3" spans="1:28" s="24" customFormat="1" ht="12.75">
      <c r="A3" s="5"/>
      <c r="B3" s="49"/>
      <c r="E3" s="25"/>
      <c r="G3" s="52"/>
      <c r="H3" s="68"/>
      <c r="I3" s="25"/>
      <c r="K3" s="25"/>
      <c r="M3" s="25"/>
      <c r="N3" s="40"/>
      <c r="P3" s="25"/>
      <c r="R3" s="25"/>
      <c r="S3" s="45"/>
      <c r="T3" s="25"/>
      <c r="V3" s="25"/>
      <c r="X3" s="25"/>
      <c r="Z3" s="25"/>
      <c r="AB3" s="25"/>
    </row>
    <row r="4" spans="1:30" ht="12.75">
      <c r="A4" s="6" t="s">
        <v>1</v>
      </c>
      <c r="B4" s="51" t="s">
        <v>115</v>
      </c>
      <c r="C4" s="41" t="s">
        <v>88</v>
      </c>
      <c r="D4">
        <v>0</v>
      </c>
      <c r="E4" s="3">
        <v>4.74</v>
      </c>
      <c r="F4">
        <v>1</v>
      </c>
      <c r="G4" s="53">
        <v>4.87</v>
      </c>
      <c r="H4" s="17">
        <v>1</v>
      </c>
      <c r="I4" s="3">
        <v>4.83</v>
      </c>
      <c r="J4" s="17">
        <v>0</v>
      </c>
      <c r="K4" s="6">
        <v>4.7</v>
      </c>
      <c r="L4" s="17">
        <v>1</v>
      </c>
      <c r="M4" s="6">
        <v>4.87</v>
      </c>
      <c r="N4" s="30"/>
      <c r="O4" s="17">
        <v>8</v>
      </c>
      <c r="P4" s="6">
        <v>6.22</v>
      </c>
      <c r="Q4" s="17">
        <v>2</v>
      </c>
      <c r="R4" s="6">
        <v>5.41</v>
      </c>
      <c r="S4" s="17">
        <v>15</v>
      </c>
      <c r="T4" s="6">
        <v>7.16</v>
      </c>
      <c r="U4" s="17">
        <v>29</v>
      </c>
      <c r="V4" s="6">
        <v>9.07</v>
      </c>
      <c r="W4" s="17">
        <v>22</v>
      </c>
      <c r="X4" s="6">
        <v>8.25</v>
      </c>
      <c r="Y4" s="17">
        <v>4</v>
      </c>
      <c r="Z4" s="6">
        <v>5.67</v>
      </c>
      <c r="AA4" s="17">
        <v>2</v>
      </c>
      <c r="AB4" s="6">
        <v>5.41</v>
      </c>
      <c r="AD4" s="18"/>
    </row>
    <row r="5" spans="1:30" ht="12.75">
      <c r="A5" s="6" t="s">
        <v>1</v>
      </c>
      <c r="B5" s="51" t="s">
        <v>116</v>
      </c>
      <c r="C5" s="41" t="s">
        <v>88</v>
      </c>
      <c r="D5">
        <v>748</v>
      </c>
      <c r="E5" s="3">
        <v>120.62</v>
      </c>
      <c r="F5">
        <v>748</v>
      </c>
      <c r="G5" s="54">
        <v>120.62</v>
      </c>
      <c r="H5" s="17">
        <v>748</v>
      </c>
      <c r="I5" s="3">
        <v>120.23</v>
      </c>
      <c r="J5" s="17">
        <v>748</v>
      </c>
      <c r="K5" s="6">
        <v>120.23</v>
      </c>
      <c r="L5" s="17">
        <v>748</v>
      </c>
      <c r="M5" s="6">
        <v>120.62</v>
      </c>
      <c r="O5" s="17">
        <v>748</v>
      </c>
      <c r="P5" s="6">
        <v>120.62</v>
      </c>
      <c r="Q5" s="17">
        <v>748</v>
      </c>
      <c r="R5" s="6">
        <v>120.62</v>
      </c>
      <c r="S5" s="17">
        <v>748</v>
      </c>
      <c r="T5" s="6">
        <v>120.62</v>
      </c>
      <c r="U5" s="17">
        <v>748</v>
      </c>
      <c r="V5" s="6">
        <v>120.62</v>
      </c>
      <c r="W5" s="17">
        <v>748</v>
      </c>
      <c r="X5" s="6">
        <v>122.18</v>
      </c>
      <c r="Y5" s="17">
        <v>748</v>
      </c>
      <c r="Z5" s="6">
        <v>120.62</v>
      </c>
      <c r="AA5" s="17">
        <v>748</v>
      </c>
      <c r="AB5" s="6">
        <v>120.62</v>
      </c>
      <c r="AD5" s="18"/>
    </row>
    <row r="6" spans="1:30" ht="12.75">
      <c r="A6" s="6" t="s">
        <v>1</v>
      </c>
      <c r="B6" s="51" t="s">
        <v>117</v>
      </c>
      <c r="C6" s="27" t="s">
        <v>88</v>
      </c>
      <c r="D6">
        <v>50</v>
      </c>
      <c r="E6" s="3">
        <v>12.91</v>
      </c>
      <c r="F6">
        <v>50</v>
      </c>
      <c r="G6" s="54">
        <v>12.91</v>
      </c>
      <c r="H6" s="17">
        <v>50</v>
      </c>
      <c r="I6" s="3">
        <v>12.85</v>
      </c>
      <c r="J6" s="17">
        <v>50</v>
      </c>
      <c r="K6" s="6">
        <v>12.85</v>
      </c>
      <c r="L6" s="17">
        <v>50</v>
      </c>
      <c r="M6" s="6">
        <v>12.91</v>
      </c>
      <c r="O6" s="17">
        <v>50</v>
      </c>
      <c r="P6" s="6">
        <v>12.91</v>
      </c>
      <c r="Q6" s="17">
        <v>50</v>
      </c>
      <c r="R6" s="6">
        <v>12.91</v>
      </c>
      <c r="S6" s="17">
        <v>50</v>
      </c>
      <c r="T6" s="6">
        <v>12.91</v>
      </c>
      <c r="U6" s="17">
        <v>50</v>
      </c>
      <c r="V6" s="6">
        <v>12.91</v>
      </c>
      <c r="W6" s="17">
        <v>50</v>
      </c>
      <c r="X6" s="6">
        <v>13.16</v>
      </c>
      <c r="Y6" s="17">
        <v>50</v>
      </c>
      <c r="Z6" s="6">
        <v>12.91</v>
      </c>
      <c r="AA6" s="17">
        <v>50</v>
      </c>
      <c r="AB6" s="6">
        <v>12.91</v>
      </c>
      <c r="AD6" s="18"/>
    </row>
    <row r="7" spans="1:30" ht="12.75">
      <c r="A7" s="6" t="s">
        <v>1</v>
      </c>
      <c r="B7" s="51" t="s">
        <v>118</v>
      </c>
      <c r="C7" s="27" t="s">
        <v>89</v>
      </c>
      <c r="D7">
        <v>15520</v>
      </c>
      <c r="E7" s="3">
        <v>3493.2</v>
      </c>
      <c r="F7">
        <v>13920</v>
      </c>
      <c r="G7" s="54">
        <v>3334.92</v>
      </c>
      <c r="H7" s="17">
        <v>9440</v>
      </c>
      <c r="I7" s="3">
        <v>1966.09</v>
      </c>
      <c r="J7" s="17">
        <v>9280</v>
      </c>
      <c r="K7" s="6">
        <v>2079.5</v>
      </c>
      <c r="L7" s="17">
        <v>13120</v>
      </c>
      <c r="M7" s="6">
        <v>2451.05</v>
      </c>
      <c r="O7" s="17">
        <v>12320</v>
      </c>
      <c r="P7" s="6">
        <v>1991.21</v>
      </c>
      <c r="Q7" s="17">
        <v>14400</v>
      </c>
      <c r="R7" s="6">
        <v>2403.34</v>
      </c>
      <c r="S7" s="17">
        <v>8960</v>
      </c>
      <c r="T7" s="6">
        <v>1829.08</v>
      </c>
      <c r="U7" s="17">
        <v>7840</v>
      </c>
      <c r="V7" s="6">
        <v>1715.58</v>
      </c>
      <c r="W7" s="17">
        <v>8000</v>
      </c>
      <c r="X7" s="6">
        <v>1580.65</v>
      </c>
      <c r="Y7" s="17">
        <v>6960</v>
      </c>
      <c r="Z7" s="6">
        <v>1451.13</v>
      </c>
      <c r="AA7" s="17">
        <v>8560</v>
      </c>
      <c r="AB7" s="6">
        <v>1759.7</v>
      </c>
      <c r="AD7" s="18"/>
    </row>
    <row r="8" spans="1:30" ht="12.75">
      <c r="A8" s="6" t="s">
        <v>2</v>
      </c>
      <c r="B8" s="51" t="s">
        <v>119</v>
      </c>
      <c r="C8" s="27" t="s">
        <v>90</v>
      </c>
      <c r="D8" s="7">
        <v>155840</v>
      </c>
      <c r="E8" s="3">
        <v>18779.94</v>
      </c>
      <c r="F8">
        <v>114240</v>
      </c>
      <c r="G8" s="54">
        <v>14169.63</v>
      </c>
      <c r="H8" s="17">
        <v>87840</v>
      </c>
      <c r="I8" s="3">
        <v>11651.34</v>
      </c>
      <c r="J8" s="17">
        <v>78400</v>
      </c>
      <c r="K8" s="6">
        <v>10388.85</v>
      </c>
      <c r="L8" s="17">
        <v>69440</v>
      </c>
      <c r="M8" s="6">
        <v>9564.2</v>
      </c>
      <c r="O8" s="17">
        <v>84000</v>
      </c>
      <c r="P8" s="6">
        <v>10934.03</v>
      </c>
      <c r="Q8" s="17">
        <v>77920</v>
      </c>
      <c r="R8" s="6">
        <v>10339.7</v>
      </c>
      <c r="S8" s="69">
        <v>68320</v>
      </c>
      <c r="T8" s="6">
        <v>9490.73</v>
      </c>
      <c r="U8" s="17">
        <v>100960</v>
      </c>
      <c r="V8" s="57">
        <v>12804.73</v>
      </c>
      <c r="W8" s="17">
        <v>102400</v>
      </c>
      <c r="X8" s="6">
        <v>13038.93</v>
      </c>
      <c r="Y8" s="17">
        <v>96480</v>
      </c>
      <c r="Z8" s="6">
        <v>12149.51</v>
      </c>
      <c r="AA8" s="17">
        <v>110880</v>
      </c>
      <c r="AB8" s="6">
        <v>13623.63</v>
      </c>
      <c r="AD8" s="18"/>
    </row>
    <row r="9" spans="1:30" ht="12.75">
      <c r="A9" s="6" t="s">
        <v>2</v>
      </c>
      <c r="B9" s="51" t="s">
        <v>120</v>
      </c>
      <c r="C9" s="27" t="s">
        <v>91</v>
      </c>
      <c r="D9">
        <v>71</v>
      </c>
      <c r="E9" s="3">
        <v>15.14</v>
      </c>
      <c r="F9">
        <v>71</v>
      </c>
      <c r="G9" s="54">
        <v>15.14</v>
      </c>
      <c r="H9" s="17">
        <v>71</v>
      </c>
      <c r="I9" s="3">
        <v>15.08</v>
      </c>
      <c r="J9" s="17">
        <v>71</v>
      </c>
      <c r="K9" s="6">
        <v>15.08</v>
      </c>
      <c r="L9" s="17">
        <v>71</v>
      </c>
      <c r="M9" s="6">
        <v>15.14</v>
      </c>
      <c r="O9" s="17">
        <v>71</v>
      </c>
      <c r="P9" s="6">
        <v>15.14</v>
      </c>
      <c r="Q9" s="17">
        <v>71</v>
      </c>
      <c r="R9" s="6">
        <v>15.14</v>
      </c>
      <c r="S9" s="70">
        <v>71</v>
      </c>
      <c r="T9" s="6">
        <v>15.14</v>
      </c>
      <c r="U9" s="17">
        <v>71</v>
      </c>
      <c r="V9" s="6">
        <v>15.14</v>
      </c>
      <c r="W9" s="17">
        <v>71</v>
      </c>
      <c r="X9" s="6">
        <v>15.4</v>
      </c>
      <c r="Y9" s="17">
        <v>71</v>
      </c>
      <c r="Z9" s="6">
        <v>15.14</v>
      </c>
      <c r="AA9" s="17">
        <v>71</v>
      </c>
      <c r="AB9" s="6">
        <v>15.14</v>
      </c>
      <c r="AD9" s="18"/>
    </row>
    <row r="10" spans="1:30" ht="12.75">
      <c r="A10" s="6" t="s">
        <v>2</v>
      </c>
      <c r="B10" s="51" t="s">
        <v>121</v>
      </c>
      <c r="C10" s="27" t="s">
        <v>91</v>
      </c>
      <c r="D10">
        <v>160</v>
      </c>
      <c r="E10" s="3">
        <v>28.91</v>
      </c>
      <c r="F10">
        <v>160</v>
      </c>
      <c r="G10" s="54">
        <v>28.91</v>
      </c>
      <c r="H10" s="17">
        <v>160</v>
      </c>
      <c r="I10" s="3">
        <v>28.81</v>
      </c>
      <c r="J10" s="17">
        <v>160</v>
      </c>
      <c r="K10" s="6">
        <v>303.81</v>
      </c>
      <c r="L10" s="17">
        <v>160</v>
      </c>
      <c r="M10" s="26">
        <v>28.91</v>
      </c>
      <c r="N10" s="41"/>
      <c r="O10" s="27">
        <v>160</v>
      </c>
      <c r="P10" s="6">
        <v>28.91</v>
      </c>
      <c r="Q10" s="17">
        <v>160</v>
      </c>
      <c r="R10" s="6">
        <v>28.91</v>
      </c>
      <c r="S10" s="70">
        <v>160</v>
      </c>
      <c r="T10" s="6">
        <v>28.91</v>
      </c>
      <c r="U10" s="17">
        <v>160</v>
      </c>
      <c r="V10" s="6">
        <v>28.91</v>
      </c>
      <c r="W10" s="17">
        <v>160</v>
      </c>
      <c r="X10" s="6">
        <v>33.45</v>
      </c>
      <c r="Y10" s="17">
        <v>160</v>
      </c>
      <c r="Z10" s="6">
        <v>28.91</v>
      </c>
      <c r="AA10" s="17">
        <v>160</v>
      </c>
      <c r="AB10" s="6">
        <v>28.91</v>
      </c>
      <c r="AD10" s="18"/>
    </row>
    <row r="11" spans="1:30" ht="12.75">
      <c r="A11" s="6" t="s">
        <v>2</v>
      </c>
      <c r="B11" s="51" t="s">
        <v>122</v>
      </c>
      <c r="C11" s="27" t="s">
        <v>92</v>
      </c>
      <c r="D11">
        <v>374</v>
      </c>
      <c r="E11" s="3">
        <v>60.31</v>
      </c>
      <c r="F11">
        <v>374</v>
      </c>
      <c r="G11" s="54">
        <v>60.31</v>
      </c>
      <c r="H11" s="17">
        <v>374</v>
      </c>
      <c r="I11" s="3">
        <v>60.12</v>
      </c>
      <c r="J11" s="17">
        <v>374</v>
      </c>
      <c r="K11" s="6">
        <v>60.12</v>
      </c>
      <c r="L11" s="17">
        <v>374</v>
      </c>
      <c r="M11" s="6">
        <v>60.31</v>
      </c>
      <c r="O11" s="28">
        <v>374</v>
      </c>
      <c r="P11" s="6">
        <v>60.31</v>
      </c>
      <c r="Q11" s="17">
        <v>374</v>
      </c>
      <c r="R11" s="6">
        <v>60.31</v>
      </c>
      <c r="S11" s="70">
        <v>374</v>
      </c>
      <c r="T11" s="6">
        <v>60.31</v>
      </c>
      <c r="U11" s="17">
        <v>374</v>
      </c>
      <c r="V11" s="6">
        <v>60.31</v>
      </c>
      <c r="W11" s="17">
        <v>374</v>
      </c>
      <c r="X11" s="6">
        <v>61.09</v>
      </c>
      <c r="Y11" s="17">
        <v>374</v>
      </c>
      <c r="Z11" s="6">
        <v>60.31</v>
      </c>
      <c r="AA11" s="17">
        <v>374</v>
      </c>
      <c r="AB11" s="6">
        <v>60.31</v>
      </c>
      <c r="AD11" s="18"/>
    </row>
    <row r="12" spans="1:30" ht="12.75">
      <c r="A12" s="6" t="s">
        <v>3</v>
      </c>
      <c r="B12" s="51" t="s">
        <v>123</v>
      </c>
      <c r="C12" s="27" t="s">
        <v>93</v>
      </c>
      <c r="D12">
        <v>9440</v>
      </c>
      <c r="E12" s="3">
        <v>1228.15</v>
      </c>
      <c r="F12">
        <v>6840</v>
      </c>
      <c r="G12" s="54">
        <v>925.25</v>
      </c>
      <c r="H12" s="17">
        <v>5240</v>
      </c>
      <c r="I12" s="3">
        <v>763.05</v>
      </c>
      <c r="J12" s="17">
        <v>4480</v>
      </c>
      <c r="K12" s="6">
        <v>678.68</v>
      </c>
      <c r="L12" s="17">
        <v>4320</v>
      </c>
      <c r="M12" s="6">
        <v>674.76</v>
      </c>
      <c r="O12" s="28">
        <v>5240</v>
      </c>
      <c r="P12" s="6">
        <v>757.61</v>
      </c>
      <c r="Q12" s="17">
        <v>5120</v>
      </c>
      <c r="R12" s="6">
        <v>748.32</v>
      </c>
      <c r="S12" s="70">
        <v>4440</v>
      </c>
      <c r="T12" s="6">
        <v>689.65</v>
      </c>
      <c r="U12" s="17">
        <v>5760</v>
      </c>
      <c r="V12" s="6">
        <v>828.87</v>
      </c>
      <c r="W12" s="17">
        <v>7840</v>
      </c>
      <c r="X12" s="6">
        <v>1060.69</v>
      </c>
      <c r="Y12" s="17">
        <v>7360</v>
      </c>
      <c r="Z12" s="6">
        <v>1007.05</v>
      </c>
      <c r="AA12" s="17">
        <v>8560</v>
      </c>
      <c r="AB12" s="6">
        <v>1143.15</v>
      </c>
      <c r="AD12" s="18"/>
    </row>
    <row r="13" spans="1:30" ht="12.75">
      <c r="A13" s="6" t="s">
        <v>76</v>
      </c>
      <c r="B13" s="51" t="s">
        <v>124</v>
      </c>
      <c r="C13" s="27" t="s">
        <v>114</v>
      </c>
      <c r="D13">
        <v>24960</v>
      </c>
      <c r="E13" s="3">
        <v>2806.71</v>
      </c>
      <c r="F13">
        <v>22960</v>
      </c>
      <c r="G13" s="54">
        <v>2549.5</v>
      </c>
      <c r="H13" s="17">
        <v>19120</v>
      </c>
      <c r="I13" s="3">
        <v>2198.95</v>
      </c>
      <c r="J13" s="17">
        <v>19440</v>
      </c>
      <c r="K13" s="6">
        <v>2380.29</v>
      </c>
      <c r="L13" s="17">
        <v>23280</v>
      </c>
      <c r="M13" s="6">
        <v>2747.19</v>
      </c>
      <c r="O13" s="28">
        <v>22720</v>
      </c>
      <c r="P13" s="6">
        <v>2507.32</v>
      </c>
      <c r="Q13" s="17">
        <v>24400</v>
      </c>
      <c r="R13" s="6">
        <v>2919.83</v>
      </c>
      <c r="S13" s="70">
        <v>21440</v>
      </c>
      <c r="T13" s="6">
        <v>2640.54</v>
      </c>
      <c r="U13" s="17">
        <v>22720</v>
      </c>
      <c r="V13" s="6">
        <v>2761.31</v>
      </c>
      <c r="W13" s="17">
        <v>23120</v>
      </c>
      <c r="X13" s="6">
        <v>2815.11</v>
      </c>
      <c r="Y13" s="17">
        <v>24960</v>
      </c>
      <c r="Z13" s="6">
        <v>2926.91</v>
      </c>
      <c r="AA13" s="17">
        <v>24640</v>
      </c>
      <c r="AB13" s="6">
        <v>2942.45</v>
      </c>
      <c r="AD13" s="18"/>
    </row>
    <row r="14" spans="1:30" ht="12.75">
      <c r="A14" s="6" t="s">
        <v>34</v>
      </c>
      <c r="B14" s="51" t="s">
        <v>125</v>
      </c>
      <c r="C14" s="27" t="s">
        <v>94</v>
      </c>
      <c r="D14">
        <v>61200</v>
      </c>
      <c r="E14" s="3">
        <v>8314.55</v>
      </c>
      <c r="F14">
        <v>73440</v>
      </c>
      <c r="G14" s="54">
        <v>9251.07</v>
      </c>
      <c r="H14" s="17">
        <v>45360</v>
      </c>
      <c r="I14" s="3">
        <v>6274.97</v>
      </c>
      <c r="J14" s="17">
        <v>40080</v>
      </c>
      <c r="K14" s="6">
        <v>5782.91</v>
      </c>
      <c r="L14" s="17">
        <v>43680</v>
      </c>
      <c r="M14" s="6">
        <v>6555.88</v>
      </c>
      <c r="O14" s="28">
        <v>51600</v>
      </c>
      <c r="P14" s="6">
        <v>7035.64</v>
      </c>
      <c r="Q14" s="17">
        <v>49440</v>
      </c>
      <c r="R14" s="6">
        <v>7208.83</v>
      </c>
      <c r="S14" s="70">
        <v>37440</v>
      </c>
      <c r="T14" s="6">
        <v>5807.91</v>
      </c>
      <c r="U14" s="17">
        <v>51360</v>
      </c>
      <c r="V14" s="6">
        <v>6826.56</v>
      </c>
      <c r="W14" s="17">
        <v>48240</v>
      </c>
      <c r="X14" s="6">
        <v>6639.28</v>
      </c>
      <c r="Y14" s="17">
        <v>29760</v>
      </c>
      <c r="Z14" s="6">
        <v>4528.9</v>
      </c>
      <c r="AA14" s="17">
        <v>43680</v>
      </c>
      <c r="AB14" s="6">
        <v>6214.45</v>
      </c>
      <c r="AD14" s="18"/>
    </row>
    <row r="15" spans="1:30" ht="12.75">
      <c r="A15" s="6" t="s">
        <v>4</v>
      </c>
      <c r="B15" s="51" t="s">
        <v>126</v>
      </c>
      <c r="C15" s="27" t="s">
        <v>95</v>
      </c>
      <c r="D15">
        <v>64</v>
      </c>
      <c r="E15" s="3">
        <v>13.4</v>
      </c>
      <c r="F15">
        <v>95</v>
      </c>
      <c r="G15" s="54">
        <v>17.59</v>
      </c>
      <c r="H15" s="17">
        <v>167</v>
      </c>
      <c r="I15" s="3">
        <v>27.26</v>
      </c>
      <c r="J15" s="17">
        <v>175</v>
      </c>
      <c r="K15" s="6">
        <v>28.33</v>
      </c>
      <c r="L15" s="17">
        <v>289</v>
      </c>
      <c r="M15" s="6">
        <v>43.86</v>
      </c>
      <c r="O15" s="28">
        <v>200</v>
      </c>
      <c r="P15" s="6">
        <v>32.21</v>
      </c>
      <c r="Q15" s="17">
        <v>215</v>
      </c>
      <c r="R15" s="6">
        <v>34.24</v>
      </c>
      <c r="S15" s="70">
        <v>361</v>
      </c>
      <c r="T15" s="6">
        <v>54.03</v>
      </c>
      <c r="U15" s="17">
        <v>760</v>
      </c>
      <c r="V15" s="6">
        <v>108.06</v>
      </c>
      <c r="W15" s="17">
        <v>1834</v>
      </c>
      <c r="X15" s="6">
        <v>253.87</v>
      </c>
      <c r="Y15" s="17">
        <v>1735</v>
      </c>
      <c r="Z15" s="6">
        <v>240.1</v>
      </c>
      <c r="AA15" s="17">
        <v>1304</v>
      </c>
      <c r="AB15" s="6">
        <v>181.73</v>
      </c>
      <c r="AD15" s="18"/>
    </row>
    <row r="16" spans="1:30" ht="12.75">
      <c r="A16" s="6" t="s">
        <v>5</v>
      </c>
      <c r="B16" s="51" t="s">
        <v>127</v>
      </c>
      <c r="C16" s="27" t="s">
        <v>96</v>
      </c>
      <c r="D16">
        <v>77800</v>
      </c>
      <c r="E16" s="3">
        <v>9955.33</v>
      </c>
      <c r="F16">
        <v>56200</v>
      </c>
      <c r="G16" s="54">
        <v>7560.51</v>
      </c>
      <c r="H16" s="17">
        <v>43400</v>
      </c>
      <c r="I16" s="3">
        <v>6100.27</v>
      </c>
      <c r="J16" s="17">
        <v>44400</v>
      </c>
      <c r="K16" s="6">
        <v>6191.41</v>
      </c>
      <c r="L16" s="17">
        <v>48400</v>
      </c>
      <c r="M16" s="6">
        <v>6934.9</v>
      </c>
      <c r="O16" s="28">
        <v>54000</v>
      </c>
      <c r="P16" s="6">
        <v>7125.85</v>
      </c>
      <c r="Q16" s="17">
        <v>55600</v>
      </c>
      <c r="R16" s="6">
        <v>7329.09</v>
      </c>
      <c r="S16" s="70">
        <v>37600</v>
      </c>
      <c r="T16" s="6">
        <v>5694.11</v>
      </c>
      <c r="U16" s="17">
        <v>50800</v>
      </c>
      <c r="V16" s="6">
        <v>6847.77</v>
      </c>
      <c r="W16" s="17">
        <v>50600</v>
      </c>
      <c r="X16" s="6">
        <v>6976.29</v>
      </c>
      <c r="Y16" s="17">
        <v>36000</v>
      </c>
      <c r="Z16" s="6">
        <v>5136.95</v>
      </c>
      <c r="AA16" s="17">
        <v>50800</v>
      </c>
      <c r="AB16" s="6">
        <v>6622.91</v>
      </c>
      <c r="AD16" s="18"/>
    </row>
    <row r="17" spans="1:30" ht="12.75">
      <c r="A17" s="26" t="s">
        <v>50</v>
      </c>
      <c r="B17" s="51" t="s">
        <v>128</v>
      </c>
      <c r="C17" s="27" t="s">
        <v>97</v>
      </c>
      <c r="D17">
        <v>640</v>
      </c>
      <c r="E17" s="3">
        <v>115.69</v>
      </c>
      <c r="F17">
        <v>640</v>
      </c>
      <c r="G17" s="55">
        <v>115.69</v>
      </c>
      <c r="H17" s="17">
        <v>640</v>
      </c>
      <c r="I17" s="3">
        <v>115.26</v>
      </c>
      <c r="J17" s="17">
        <v>640</v>
      </c>
      <c r="K17" s="57">
        <v>115.26</v>
      </c>
      <c r="L17" s="17">
        <v>640</v>
      </c>
      <c r="M17" s="6">
        <v>115.69</v>
      </c>
      <c r="O17" s="28">
        <v>640</v>
      </c>
      <c r="P17" s="6">
        <v>115.69</v>
      </c>
      <c r="Q17" s="17">
        <v>640</v>
      </c>
      <c r="R17" s="6">
        <v>115.69</v>
      </c>
      <c r="S17" s="70">
        <v>640</v>
      </c>
      <c r="T17" s="6">
        <v>115.69</v>
      </c>
      <c r="U17" s="17">
        <v>640</v>
      </c>
      <c r="V17" s="3">
        <v>115.69</v>
      </c>
      <c r="W17" s="17">
        <v>640</v>
      </c>
      <c r="X17" s="3">
        <v>117.4</v>
      </c>
      <c r="Y17" s="17">
        <v>640</v>
      </c>
      <c r="Z17" s="6">
        <v>115.69</v>
      </c>
      <c r="AA17" s="17">
        <v>640</v>
      </c>
      <c r="AB17" s="6">
        <v>115.69</v>
      </c>
      <c r="AD17" s="18"/>
    </row>
    <row r="18" spans="1:30" ht="12.75">
      <c r="A18" s="6" t="s">
        <v>6</v>
      </c>
      <c r="B18" s="51" t="s">
        <v>129</v>
      </c>
      <c r="C18" s="27" t="s">
        <v>98</v>
      </c>
      <c r="D18">
        <v>35680</v>
      </c>
      <c r="E18" s="3">
        <v>4518.71</v>
      </c>
      <c r="F18">
        <v>19520</v>
      </c>
      <c r="G18" s="54">
        <v>2757.61</v>
      </c>
      <c r="H18" s="17">
        <v>8800</v>
      </c>
      <c r="I18" s="3">
        <v>1777.25</v>
      </c>
      <c r="J18" s="17">
        <v>18960</v>
      </c>
      <c r="K18" s="6">
        <v>2639.64</v>
      </c>
      <c r="L18" s="17">
        <v>13280</v>
      </c>
      <c r="M18" s="6">
        <v>2065.03</v>
      </c>
      <c r="O18" s="28">
        <v>16240</v>
      </c>
      <c r="P18" s="6">
        <v>2376.8</v>
      </c>
      <c r="Q18" s="17">
        <v>12400</v>
      </c>
      <c r="R18" s="6">
        <v>1974.98</v>
      </c>
      <c r="S18" s="70">
        <v>9760</v>
      </c>
      <c r="T18" s="6">
        <v>1773.54</v>
      </c>
      <c r="U18" s="17">
        <v>16000</v>
      </c>
      <c r="V18" s="6">
        <v>2409.93</v>
      </c>
      <c r="W18" s="17">
        <v>20560</v>
      </c>
      <c r="X18" s="6">
        <v>2875.82</v>
      </c>
      <c r="Y18" s="17">
        <v>18320</v>
      </c>
      <c r="Z18" s="6">
        <v>2658.14</v>
      </c>
      <c r="AA18" s="17">
        <v>26400</v>
      </c>
      <c r="AB18" s="6">
        <v>3505.08</v>
      </c>
      <c r="AD18" s="18"/>
    </row>
    <row r="19" spans="1:30" ht="12.75">
      <c r="A19" s="6" t="s">
        <v>7</v>
      </c>
      <c r="B19" s="51" t="s">
        <v>130</v>
      </c>
      <c r="C19" s="27" t="s">
        <v>99</v>
      </c>
      <c r="D19">
        <v>124</v>
      </c>
      <c r="E19" s="3">
        <v>37</v>
      </c>
      <c r="F19">
        <v>132</v>
      </c>
      <c r="G19" s="54">
        <v>45.37</v>
      </c>
      <c r="H19" s="17">
        <v>454</v>
      </c>
      <c r="I19" s="3">
        <v>105.72</v>
      </c>
      <c r="J19" s="17">
        <v>433</v>
      </c>
      <c r="K19" s="6">
        <v>73.75</v>
      </c>
      <c r="L19" s="17">
        <v>586</v>
      </c>
      <c r="M19" s="6">
        <v>164.34</v>
      </c>
      <c r="O19" s="28">
        <v>4112</v>
      </c>
      <c r="P19" s="6">
        <v>517.43</v>
      </c>
      <c r="Q19" s="17">
        <v>2864</v>
      </c>
      <c r="R19" s="6">
        <v>384.59</v>
      </c>
      <c r="S19" s="70">
        <v>834</v>
      </c>
      <c r="T19" s="6">
        <v>162.53</v>
      </c>
      <c r="U19" s="17">
        <v>428</v>
      </c>
      <c r="V19" s="6">
        <v>86.09</v>
      </c>
      <c r="W19" s="17">
        <v>449</v>
      </c>
      <c r="X19" s="6">
        <v>81.42</v>
      </c>
      <c r="Y19" s="17">
        <v>395</v>
      </c>
      <c r="Z19" s="6">
        <v>75.39</v>
      </c>
      <c r="AA19" s="17">
        <v>396</v>
      </c>
      <c r="AB19" s="6">
        <v>75.48</v>
      </c>
      <c r="AD19" s="18"/>
    </row>
    <row r="20" spans="1:30" ht="12.75">
      <c r="A20" s="26" t="s">
        <v>168</v>
      </c>
      <c r="B20" s="51" t="s">
        <v>167</v>
      </c>
      <c r="C20" s="27" t="s">
        <v>166</v>
      </c>
      <c r="G20" s="54"/>
      <c r="H20" s="17"/>
      <c r="I20" s="3"/>
      <c r="J20" s="17"/>
      <c r="L20" s="17"/>
      <c r="O20" s="28"/>
      <c r="Q20" s="17"/>
      <c r="S20" s="70">
        <v>22</v>
      </c>
      <c r="T20" s="6">
        <v>38.52</v>
      </c>
      <c r="U20" s="17">
        <v>0</v>
      </c>
      <c r="V20" s="6">
        <v>4.39</v>
      </c>
      <c r="W20" s="17">
        <v>3</v>
      </c>
      <c r="X20" s="6">
        <v>4.72</v>
      </c>
      <c r="Y20" s="17">
        <v>1427</v>
      </c>
      <c r="Z20" s="6">
        <v>172.47</v>
      </c>
      <c r="AA20" s="17">
        <v>2060</v>
      </c>
      <c r="AB20" s="6">
        <v>248.29</v>
      </c>
      <c r="AD20" s="18"/>
    </row>
    <row r="21" spans="1:30" ht="12.75">
      <c r="A21" s="6" t="s">
        <v>8</v>
      </c>
      <c r="B21" s="51" t="s">
        <v>131</v>
      </c>
      <c r="C21" s="27" t="s">
        <v>100</v>
      </c>
      <c r="D21">
        <v>252</v>
      </c>
      <c r="E21" s="3">
        <v>38.85</v>
      </c>
      <c r="F21">
        <v>176</v>
      </c>
      <c r="G21" s="54">
        <v>28.56</v>
      </c>
      <c r="H21" s="17">
        <v>101</v>
      </c>
      <c r="I21" s="3">
        <v>18.35</v>
      </c>
      <c r="J21" s="17">
        <v>10</v>
      </c>
      <c r="K21" s="6">
        <v>6.06</v>
      </c>
      <c r="L21" s="17">
        <v>334</v>
      </c>
      <c r="M21" s="6">
        <v>49.96</v>
      </c>
      <c r="O21" s="28">
        <v>327</v>
      </c>
      <c r="P21" s="6">
        <v>49.41</v>
      </c>
      <c r="Q21" s="17">
        <v>290</v>
      </c>
      <c r="R21" s="6">
        <v>44.41</v>
      </c>
      <c r="S21" s="70">
        <v>285</v>
      </c>
      <c r="T21" s="6">
        <v>43.74</v>
      </c>
      <c r="U21" s="17">
        <v>47</v>
      </c>
      <c r="V21" s="6">
        <v>11.5</v>
      </c>
      <c r="W21" s="17">
        <v>0</v>
      </c>
      <c r="X21" s="6">
        <v>5.36</v>
      </c>
      <c r="Y21" s="17">
        <v>0</v>
      </c>
      <c r="Z21" s="6">
        <v>5.14</v>
      </c>
      <c r="AA21" s="17">
        <v>0</v>
      </c>
      <c r="AB21" s="6">
        <v>5.14</v>
      </c>
      <c r="AD21" s="18"/>
    </row>
    <row r="22" spans="1:30" ht="12.75">
      <c r="A22" s="6" t="s">
        <v>9</v>
      </c>
      <c r="B22" s="51" t="s">
        <v>132</v>
      </c>
      <c r="C22" s="27" t="s">
        <v>101</v>
      </c>
      <c r="D22">
        <v>1119</v>
      </c>
      <c r="E22" s="3">
        <v>207.02</v>
      </c>
      <c r="F22">
        <v>1769</v>
      </c>
      <c r="G22" s="54">
        <v>268.35</v>
      </c>
      <c r="H22" s="17">
        <v>1596</v>
      </c>
      <c r="I22" s="3">
        <v>285.69</v>
      </c>
      <c r="J22" s="17">
        <v>2772</v>
      </c>
      <c r="K22" s="6">
        <v>385.81</v>
      </c>
      <c r="L22" s="17">
        <v>4181</v>
      </c>
      <c r="M22" s="6">
        <v>518.76</v>
      </c>
      <c r="O22" s="28">
        <v>3512</v>
      </c>
      <c r="P22" s="6">
        <v>437.97</v>
      </c>
      <c r="Q22" s="17">
        <v>2751</v>
      </c>
      <c r="R22" s="6">
        <v>366.3</v>
      </c>
      <c r="S22" s="70">
        <v>2046</v>
      </c>
      <c r="T22" s="6">
        <v>299.79</v>
      </c>
      <c r="U22" s="17">
        <v>2115</v>
      </c>
      <c r="V22" s="6">
        <v>321.54</v>
      </c>
      <c r="W22" s="17">
        <v>1904</v>
      </c>
      <c r="X22" s="6">
        <v>295.84</v>
      </c>
      <c r="Y22" s="17">
        <v>1596</v>
      </c>
      <c r="Z22" s="6">
        <v>242.06</v>
      </c>
      <c r="AA22" s="17">
        <v>1457</v>
      </c>
      <c r="AB22" s="6">
        <v>228.96</v>
      </c>
      <c r="AD22" s="18"/>
    </row>
    <row r="23" spans="1:30" ht="12.75">
      <c r="A23" s="6" t="s">
        <v>10</v>
      </c>
      <c r="B23" s="51" t="s">
        <v>133</v>
      </c>
      <c r="C23" s="27" t="s">
        <v>102</v>
      </c>
      <c r="D23">
        <v>12673</v>
      </c>
      <c r="E23" s="3">
        <v>1449.46</v>
      </c>
      <c r="F23">
        <v>11828</v>
      </c>
      <c r="G23" s="54">
        <v>1346.89</v>
      </c>
      <c r="H23" s="17">
        <v>10054</v>
      </c>
      <c r="I23" s="3">
        <v>1177.53</v>
      </c>
      <c r="J23" s="17">
        <v>9749</v>
      </c>
      <c r="K23" s="6">
        <v>1141.2</v>
      </c>
      <c r="L23" s="17">
        <v>10292</v>
      </c>
      <c r="M23" s="6">
        <v>1194.35</v>
      </c>
      <c r="O23" s="28">
        <v>9856</v>
      </c>
      <c r="P23" s="6">
        <v>1173.61</v>
      </c>
      <c r="Q23" s="17">
        <v>9609</v>
      </c>
      <c r="R23" s="6">
        <v>1327.73</v>
      </c>
      <c r="S23" s="70">
        <v>9306</v>
      </c>
      <c r="T23" s="6">
        <v>1091.55</v>
      </c>
      <c r="U23" s="17">
        <v>10340</v>
      </c>
      <c r="V23" s="6">
        <v>1211.95</v>
      </c>
      <c r="W23" s="17">
        <v>12215</v>
      </c>
      <c r="X23" s="6">
        <v>1427.14</v>
      </c>
      <c r="Y23" s="17">
        <v>10936</v>
      </c>
      <c r="Z23" s="6">
        <v>1248.8</v>
      </c>
      <c r="AA23" s="17">
        <v>12233</v>
      </c>
      <c r="AB23" s="6">
        <v>1382.95</v>
      </c>
      <c r="AD23" s="18"/>
    </row>
    <row r="24" spans="1:30" ht="12.75">
      <c r="A24" s="6" t="s">
        <v>54</v>
      </c>
      <c r="B24" s="51" t="s">
        <v>134</v>
      </c>
      <c r="C24" s="27" t="s">
        <v>103</v>
      </c>
      <c r="D24">
        <v>1560</v>
      </c>
      <c r="E24" s="3">
        <v>1327.99</v>
      </c>
      <c r="F24">
        <v>1800</v>
      </c>
      <c r="G24" s="54">
        <v>1567.38</v>
      </c>
      <c r="H24" s="17">
        <v>1320</v>
      </c>
      <c r="I24" s="3">
        <v>1296.55</v>
      </c>
      <c r="J24" s="17">
        <v>1320</v>
      </c>
      <c r="K24" s="6">
        <v>1296.55</v>
      </c>
      <c r="L24" s="17">
        <v>1280</v>
      </c>
      <c r="M24" s="6">
        <v>1301.58</v>
      </c>
      <c r="O24" s="28"/>
      <c r="Q24" s="17"/>
      <c r="S24" s="17"/>
      <c r="U24" s="17"/>
      <c r="W24" s="17">
        <v>0</v>
      </c>
      <c r="X24" s="6">
        <v>35.19</v>
      </c>
      <c r="Y24" s="17"/>
      <c r="AA24" s="17"/>
      <c r="AD24" s="18"/>
    </row>
    <row r="25" spans="1:30" ht="12.75">
      <c r="A25" s="6" t="s">
        <v>12</v>
      </c>
      <c r="B25" s="51" t="s">
        <v>135</v>
      </c>
      <c r="C25" s="27" t="s">
        <v>104</v>
      </c>
      <c r="D25">
        <v>82200</v>
      </c>
      <c r="E25" s="3">
        <v>11122.02</v>
      </c>
      <c r="F25">
        <v>59000</v>
      </c>
      <c r="G25" s="54">
        <v>8887.46</v>
      </c>
      <c r="H25" s="17">
        <v>48400</v>
      </c>
      <c r="I25" s="3">
        <v>7803.1</v>
      </c>
      <c r="J25" s="17">
        <v>71200</v>
      </c>
      <c r="K25" s="6">
        <v>11329.22</v>
      </c>
      <c r="L25" s="17">
        <v>111600</v>
      </c>
      <c r="M25" s="6">
        <v>16479.6</v>
      </c>
      <c r="O25" s="28">
        <v>103200</v>
      </c>
      <c r="P25" s="6">
        <v>15719.21</v>
      </c>
      <c r="Q25" s="17">
        <v>98800</v>
      </c>
      <c r="R25" s="6">
        <v>15445.97</v>
      </c>
      <c r="S25" s="17">
        <v>46086.345</v>
      </c>
      <c r="T25" s="6">
        <v>9395.57</v>
      </c>
      <c r="U25" s="17">
        <v>41665.155</v>
      </c>
      <c r="V25" s="6">
        <v>7962.33</v>
      </c>
      <c r="W25" s="17">
        <v>58951.02</v>
      </c>
      <c r="X25" s="6">
        <v>9745.84</v>
      </c>
      <c r="Y25" s="17">
        <v>48858.69</v>
      </c>
      <c r="Z25" s="6">
        <v>8603.95</v>
      </c>
      <c r="AA25" s="17">
        <v>53589.63</v>
      </c>
      <c r="AB25" s="6">
        <v>9050.07</v>
      </c>
      <c r="AD25" s="18"/>
    </row>
    <row r="26" spans="1:30" ht="12.75">
      <c r="A26" s="6" t="s">
        <v>13</v>
      </c>
      <c r="B26" s="51" t="s">
        <v>136</v>
      </c>
      <c r="C26" s="27" t="s">
        <v>105</v>
      </c>
      <c r="D26">
        <v>4068</v>
      </c>
      <c r="E26" s="3">
        <v>710.72</v>
      </c>
      <c r="F26">
        <v>1731</v>
      </c>
      <c r="G26" s="54">
        <v>584.57</v>
      </c>
      <c r="H26" s="17">
        <v>1067</v>
      </c>
      <c r="I26" s="3">
        <v>511.21</v>
      </c>
      <c r="J26" s="17">
        <v>80</v>
      </c>
      <c r="K26" s="6">
        <v>301.45</v>
      </c>
      <c r="L26" s="17">
        <v>257</v>
      </c>
      <c r="M26" s="6">
        <v>327.62</v>
      </c>
      <c r="O26" s="28">
        <v>69</v>
      </c>
      <c r="P26" s="6">
        <v>315.07</v>
      </c>
      <c r="Q26" s="17">
        <v>587</v>
      </c>
      <c r="R26" s="6">
        <v>482.39</v>
      </c>
      <c r="S26" s="17">
        <v>1023</v>
      </c>
      <c r="T26" s="6">
        <v>523.52</v>
      </c>
      <c r="U26" s="17">
        <v>1498</v>
      </c>
      <c r="V26" s="6">
        <v>479.45</v>
      </c>
      <c r="W26" s="17">
        <v>2335</v>
      </c>
      <c r="X26" s="6">
        <v>604.54</v>
      </c>
      <c r="Y26" s="17">
        <v>2804</v>
      </c>
      <c r="Z26" s="6">
        <v>604.51</v>
      </c>
      <c r="AA26" s="17">
        <v>3310</v>
      </c>
      <c r="AB26" s="6">
        <v>641.24</v>
      </c>
      <c r="AD26" s="18"/>
    </row>
    <row r="27" spans="1:30" ht="12.75">
      <c r="A27" s="6" t="s">
        <v>14</v>
      </c>
      <c r="B27" s="51" t="s">
        <v>137</v>
      </c>
      <c r="C27" s="27" t="s">
        <v>106</v>
      </c>
      <c r="D27">
        <v>64000</v>
      </c>
      <c r="E27" s="3">
        <v>8407.81</v>
      </c>
      <c r="F27">
        <v>49600</v>
      </c>
      <c r="G27" s="54">
        <v>6717.02</v>
      </c>
      <c r="H27" s="17">
        <v>43600</v>
      </c>
      <c r="I27" s="3">
        <v>5958.64</v>
      </c>
      <c r="J27" s="17">
        <v>49200</v>
      </c>
      <c r="K27" s="6">
        <v>6534.06</v>
      </c>
      <c r="L27" s="17">
        <v>34800</v>
      </c>
      <c r="M27" s="6">
        <v>5291.73</v>
      </c>
      <c r="O27" s="28">
        <v>23600</v>
      </c>
      <c r="P27" s="6">
        <v>4134.12</v>
      </c>
      <c r="Q27" s="17">
        <v>26000</v>
      </c>
      <c r="R27" s="6">
        <v>4585.08</v>
      </c>
      <c r="S27" s="17">
        <v>21200</v>
      </c>
      <c r="T27" s="6">
        <v>4147.62</v>
      </c>
      <c r="U27" s="17">
        <v>27200</v>
      </c>
      <c r="V27" s="6">
        <v>4789.29</v>
      </c>
      <c r="W27" s="17">
        <v>46400</v>
      </c>
      <c r="X27" s="6">
        <v>6633.99</v>
      </c>
      <c r="Y27" s="17">
        <v>37200</v>
      </c>
      <c r="Z27" s="6">
        <v>5528.26</v>
      </c>
      <c r="AA27" s="17">
        <v>52400</v>
      </c>
      <c r="AB27" s="6">
        <v>8007.81</v>
      </c>
      <c r="AD27" s="18"/>
    </row>
    <row r="28" spans="1:30" ht="12.75">
      <c r="A28" s="6" t="s">
        <v>15</v>
      </c>
      <c r="B28" s="51" t="s">
        <v>138</v>
      </c>
      <c r="C28" s="27" t="s">
        <v>107</v>
      </c>
      <c r="D28">
        <v>1493</v>
      </c>
      <c r="E28" s="3">
        <v>206.92</v>
      </c>
      <c r="F28">
        <v>43</v>
      </c>
      <c r="G28" s="54">
        <v>10.56</v>
      </c>
      <c r="H28" s="17">
        <v>4716</v>
      </c>
      <c r="I28" s="3">
        <v>641.76</v>
      </c>
      <c r="J28" s="17">
        <v>5713</v>
      </c>
      <c r="K28" s="6">
        <v>778.37</v>
      </c>
      <c r="L28" s="17">
        <v>6422</v>
      </c>
      <c r="M28" s="6">
        <v>874.4</v>
      </c>
      <c r="O28" s="28">
        <v>3370</v>
      </c>
      <c r="P28" s="6">
        <v>461.49</v>
      </c>
      <c r="Q28" s="17">
        <v>1233</v>
      </c>
      <c r="R28" s="6">
        <v>172.11</v>
      </c>
      <c r="S28" s="17">
        <v>278</v>
      </c>
      <c r="T28" s="6">
        <v>42.79</v>
      </c>
      <c r="U28" s="17">
        <v>189</v>
      </c>
      <c r="V28" s="3">
        <v>30.73</v>
      </c>
      <c r="W28" s="17">
        <v>422</v>
      </c>
      <c r="X28" s="6">
        <v>65.49</v>
      </c>
      <c r="Y28" s="17">
        <v>644</v>
      </c>
      <c r="Z28" s="6">
        <v>92.37</v>
      </c>
      <c r="AA28" s="17">
        <v>731</v>
      </c>
      <c r="AB28" s="6">
        <v>104.14</v>
      </c>
      <c r="AD28" s="18"/>
    </row>
    <row r="29" spans="1:30" ht="12.75">
      <c r="A29" s="6" t="s">
        <v>15</v>
      </c>
      <c r="B29" s="51" t="s">
        <v>139</v>
      </c>
      <c r="C29" s="27" t="s">
        <v>107</v>
      </c>
      <c r="D29">
        <v>50</v>
      </c>
      <c r="E29" s="3">
        <v>12.91</v>
      </c>
      <c r="F29">
        <v>50</v>
      </c>
      <c r="G29" s="54">
        <v>12.91</v>
      </c>
      <c r="H29" s="17">
        <v>50</v>
      </c>
      <c r="I29" s="3">
        <v>12.85</v>
      </c>
      <c r="J29" s="17">
        <v>50</v>
      </c>
      <c r="K29" s="6">
        <v>12.91</v>
      </c>
      <c r="L29" s="17">
        <v>50</v>
      </c>
      <c r="M29" s="6">
        <v>12.91</v>
      </c>
      <c r="O29" s="28">
        <v>50</v>
      </c>
      <c r="P29" s="6">
        <v>12.91</v>
      </c>
      <c r="Q29" s="17">
        <v>50</v>
      </c>
      <c r="R29" s="6">
        <v>12.91</v>
      </c>
      <c r="S29" s="17">
        <v>50</v>
      </c>
      <c r="T29" s="6">
        <v>12.91</v>
      </c>
      <c r="U29" s="17">
        <v>50</v>
      </c>
      <c r="V29" s="6">
        <v>12.91</v>
      </c>
      <c r="W29" s="17">
        <v>50</v>
      </c>
      <c r="X29" s="6">
        <v>13.04</v>
      </c>
      <c r="Y29" s="17">
        <v>50</v>
      </c>
      <c r="Z29" s="6">
        <v>12.91</v>
      </c>
      <c r="AA29" s="17">
        <v>50</v>
      </c>
      <c r="AB29" s="6">
        <v>12.91</v>
      </c>
      <c r="AD29" s="18"/>
    </row>
    <row r="30" spans="1:30" ht="12.75">
      <c r="A30" s="6" t="s">
        <v>16</v>
      </c>
      <c r="B30" s="51" t="s">
        <v>140</v>
      </c>
      <c r="C30" s="27" t="s">
        <v>108</v>
      </c>
      <c r="D30">
        <v>772</v>
      </c>
      <c r="E30" s="3">
        <v>103.97</v>
      </c>
      <c r="F30">
        <v>823</v>
      </c>
      <c r="G30" s="54">
        <v>110.84</v>
      </c>
      <c r="H30" s="17">
        <v>660</v>
      </c>
      <c r="I30" s="3">
        <v>88.68</v>
      </c>
      <c r="J30" s="17">
        <v>561</v>
      </c>
      <c r="K30" s="6">
        <v>75.37</v>
      </c>
      <c r="L30" s="17">
        <v>126</v>
      </c>
      <c r="M30" s="6">
        <v>16.97</v>
      </c>
      <c r="O30" s="28">
        <v>758</v>
      </c>
      <c r="P30" s="6">
        <v>102.1</v>
      </c>
      <c r="Q30" s="17">
        <v>2623</v>
      </c>
      <c r="R30" s="6">
        <v>353.29</v>
      </c>
      <c r="S30" s="17">
        <v>3184</v>
      </c>
      <c r="T30" s="6">
        <v>428.83</v>
      </c>
      <c r="U30" s="17">
        <v>2522</v>
      </c>
      <c r="V30" s="6">
        <v>339.67</v>
      </c>
      <c r="W30" s="17">
        <v>1335</v>
      </c>
      <c r="X30" s="6">
        <v>180.61</v>
      </c>
      <c r="Y30" s="17">
        <v>451</v>
      </c>
      <c r="Z30" s="6">
        <v>60.74</v>
      </c>
      <c r="AA30" s="17">
        <v>391</v>
      </c>
      <c r="AB30" s="6">
        <v>52.68</v>
      </c>
      <c r="AD30" s="18"/>
    </row>
    <row r="31" spans="1:30" ht="12.75">
      <c r="A31" s="6" t="s">
        <v>17</v>
      </c>
      <c r="B31" s="51" t="s">
        <v>141</v>
      </c>
      <c r="C31" s="27" t="s">
        <v>109</v>
      </c>
      <c r="D31">
        <v>16160</v>
      </c>
      <c r="E31" s="3">
        <v>1907.89</v>
      </c>
      <c r="F31">
        <v>8920</v>
      </c>
      <c r="G31" s="54">
        <v>1224.78</v>
      </c>
      <c r="H31" s="17">
        <v>9920</v>
      </c>
      <c r="I31" s="3">
        <v>1316.03</v>
      </c>
      <c r="J31" s="17">
        <v>5120</v>
      </c>
      <c r="K31" s="6">
        <v>863.27</v>
      </c>
      <c r="L31" s="17">
        <v>5640</v>
      </c>
      <c r="M31" s="6">
        <v>915.31</v>
      </c>
      <c r="O31" s="28">
        <v>6120</v>
      </c>
      <c r="P31" s="6">
        <v>965.76</v>
      </c>
      <c r="Q31" s="17">
        <v>6560</v>
      </c>
      <c r="R31" s="6">
        <v>1007.83</v>
      </c>
      <c r="S31" s="17">
        <v>6760</v>
      </c>
      <c r="T31" s="6">
        <v>1301.22</v>
      </c>
      <c r="U31" s="17">
        <v>8040</v>
      </c>
      <c r="V31" s="6">
        <v>1258.7</v>
      </c>
      <c r="W31" s="17">
        <v>13120</v>
      </c>
      <c r="X31" s="6">
        <v>1750.17</v>
      </c>
      <c r="Y31" s="17">
        <v>14240</v>
      </c>
      <c r="Z31" s="6">
        <v>1847.36</v>
      </c>
      <c r="AA31" s="17">
        <v>16480</v>
      </c>
      <c r="AB31" s="6">
        <v>2056.85</v>
      </c>
      <c r="AD31" s="18"/>
    </row>
    <row r="32" spans="1:30" ht="12.75">
      <c r="A32" s="6" t="s">
        <v>18</v>
      </c>
      <c r="B32" s="51" t="s">
        <v>142</v>
      </c>
      <c r="C32" s="28" t="s">
        <v>110</v>
      </c>
      <c r="D32">
        <v>24405</v>
      </c>
      <c r="E32" s="3">
        <v>2442.15</v>
      </c>
      <c r="F32">
        <v>4225</v>
      </c>
      <c r="G32" s="54">
        <v>-1398.02</v>
      </c>
      <c r="H32" s="17">
        <v>3179</v>
      </c>
      <c r="I32" s="3">
        <v>430.77</v>
      </c>
      <c r="J32" s="22">
        <v>3125</v>
      </c>
      <c r="K32" s="6">
        <v>433.25</v>
      </c>
      <c r="L32" s="17">
        <v>3816</v>
      </c>
      <c r="M32" s="6">
        <v>514.79</v>
      </c>
      <c r="O32" s="28">
        <v>3487</v>
      </c>
      <c r="P32" s="6">
        <v>488.89</v>
      </c>
      <c r="Q32" s="17">
        <v>3249</v>
      </c>
      <c r="R32" s="6">
        <v>459.02</v>
      </c>
      <c r="S32" s="17">
        <v>2636</v>
      </c>
      <c r="T32" s="6">
        <v>401.18</v>
      </c>
      <c r="U32" s="17">
        <v>3278</v>
      </c>
      <c r="V32" s="6">
        <v>446.52</v>
      </c>
      <c r="W32" s="17">
        <v>4639</v>
      </c>
      <c r="X32" s="6">
        <v>586.9</v>
      </c>
      <c r="Y32" s="17">
        <v>5282</v>
      </c>
      <c r="Z32" s="6">
        <v>666.1</v>
      </c>
      <c r="AA32" s="17">
        <v>5717</v>
      </c>
      <c r="AB32" s="6">
        <v>707.15</v>
      </c>
      <c r="AD32" s="18"/>
    </row>
    <row r="33" spans="1:30" ht="12.75">
      <c r="A33" s="6" t="s">
        <v>19</v>
      </c>
      <c r="B33" s="51" t="s">
        <v>143</v>
      </c>
      <c r="C33" s="28" t="s">
        <v>111</v>
      </c>
      <c r="D33">
        <v>10280</v>
      </c>
      <c r="E33" s="3">
        <v>1276.96</v>
      </c>
      <c r="F33">
        <v>8600</v>
      </c>
      <c r="G33" s="54">
        <v>1103.21</v>
      </c>
      <c r="H33" s="17">
        <v>7040</v>
      </c>
      <c r="I33" s="3">
        <v>946.45</v>
      </c>
      <c r="J33" s="17">
        <v>6920</v>
      </c>
      <c r="K33" s="6">
        <v>938.74</v>
      </c>
      <c r="L33" s="17">
        <v>7000</v>
      </c>
      <c r="M33" s="6">
        <v>952.26</v>
      </c>
      <c r="O33" s="28">
        <v>4800</v>
      </c>
      <c r="P33" s="6">
        <v>742.59</v>
      </c>
      <c r="Q33" s="17">
        <v>11160</v>
      </c>
      <c r="R33" s="6">
        <v>1335.68</v>
      </c>
      <c r="S33" s="17">
        <v>6680</v>
      </c>
      <c r="T33" s="6">
        <v>916.66</v>
      </c>
      <c r="U33" s="17">
        <v>7920</v>
      </c>
      <c r="V33" s="6">
        <v>1040.96</v>
      </c>
      <c r="W33" s="17">
        <v>7040</v>
      </c>
      <c r="X33" s="6">
        <v>1016.57</v>
      </c>
      <c r="Y33" s="17">
        <v>6960</v>
      </c>
      <c r="Z33" s="6">
        <v>929.16</v>
      </c>
      <c r="AA33" s="17">
        <v>8480</v>
      </c>
      <c r="AB33" s="6">
        <v>1127.97</v>
      </c>
      <c r="AD33" s="18"/>
    </row>
    <row r="34" spans="1:30" ht="12.75">
      <c r="A34" s="6" t="s">
        <v>20</v>
      </c>
      <c r="B34" s="51" t="s">
        <v>144</v>
      </c>
      <c r="C34" s="28" t="s">
        <v>112</v>
      </c>
      <c r="D34">
        <v>560</v>
      </c>
      <c r="E34" s="3">
        <v>259.55</v>
      </c>
      <c r="F34">
        <v>600</v>
      </c>
      <c r="G34" s="54">
        <v>363.63</v>
      </c>
      <c r="H34" s="17">
        <v>480</v>
      </c>
      <c r="I34" s="3">
        <v>279.37</v>
      </c>
      <c r="J34" s="17">
        <v>400</v>
      </c>
      <c r="K34" s="6">
        <v>242.91</v>
      </c>
      <c r="L34" s="17">
        <v>360</v>
      </c>
      <c r="M34" s="6">
        <v>240.68</v>
      </c>
      <c r="O34" s="28"/>
      <c r="Q34" s="17"/>
      <c r="S34" s="58"/>
      <c r="U34" s="17"/>
      <c r="V34" s="3"/>
      <c r="W34" s="17">
        <v>0</v>
      </c>
      <c r="X34" s="6">
        <v>6.61</v>
      </c>
      <c r="Y34" s="17"/>
      <c r="AA34" s="17"/>
      <c r="AD34" s="18"/>
    </row>
    <row r="35" spans="1:30" s="38" customFormat="1" ht="12.75">
      <c r="A35" s="6" t="s">
        <v>21</v>
      </c>
      <c r="B35" s="51" t="s">
        <v>145</v>
      </c>
      <c r="C35" s="41" t="s">
        <v>113</v>
      </c>
      <c r="D35" s="38">
        <v>1376</v>
      </c>
      <c r="E35" s="3">
        <v>269.33</v>
      </c>
      <c r="F35" s="38">
        <v>849</v>
      </c>
      <c r="G35" s="54">
        <v>196.78</v>
      </c>
      <c r="H35" s="17">
        <v>1183</v>
      </c>
      <c r="I35" s="3">
        <v>257.62</v>
      </c>
      <c r="J35" s="17">
        <v>2694</v>
      </c>
      <c r="K35" s="6">
        <v>362.35</v>
      </c>
      <c r="L35" s="17">
        <v>3989</v>
      </c>
      <c r="M35" s="6">
        <v>515.87</v>
      </c>
      <c r="O35" s="28">
        <v>3087</v>
      </c>
      <c r="P35" s="6">
        <v>428.33</v>
      </c>
      <c r="Q35" s="17">
        <v>3158</v>
      </c>
      <c r="R35" s="6">
        <v>404.69</v>
      </c>
      <c r="S35" s="17">
        <v>1632</v>
      </c>
      <c r="T35" s="6">
        <v>268.34</v>
      </c>
      <c r="U35" s="17">
        <v>928</v>
      </c>
      <c r="V35" s="6">
        <v>247.66</v>
      </c>
      <c r="W35" s="17">
        <v>1171</v>
      </c>
      <c r="X35" s="3">
        <v>175.47</v>
      </c>
      <c r="Y35" s="17">
        <v>294</v>
      </c>
      <c r="Z35" s="6">
        <v>73.45</v>
      </c>
      <c r="AA35" s="17">
        <v>157</v>
      </c>
      <c r="AB35" s="6">
        <v>83.41</v>
      </c>
      <c r="AD35" s="58"/>
    </row>
    <row r="36" spans="1:30" s="38" customFormat="1" ht="12.75">
      <c r="A36" s="26" t="s">
        <v>150</v>
      </c>
      <c r="B36" s="51" t="s">
        <v>148</v>
      </c>
      <c r="C36" s="27" t="s">
        <v>149</v>
      </c>
      <c r="E36" s="3"/>
      <c r="G36" s="54"/>
      <c r="I36" s="3"/>
      <c r="J36" s="17"/>
      <c r="K36" s="6"/>
      <c r="M36" s="6"/>
      <c r="P36" s="6"/>
      <c r="R36" s="6"/>
      <c r="S36" s="17"/>
      <c r="T36" s="6"/>
      <c r="U36" s="17"/>
      <c r="V36" s="6"/>
      <c r="W36" s="17"/>
      <c r="X36" s="3"/>
      <c r="Z36" s="6"/>
      <c r="AB36" s="6"/>
      <c r="AC36" s="69"/>
      <c r="AD36" s="58"/>
    </row>
    <row r="37" spans="1:30" ht="12.75">
      <c r="A37" s="6" t="s">
        <v>151</v>
      </c>
      <c r="B37" s="50" t="s">
        <v>152</v>
      </c>
      <c r="C37" s="27" t="s">
        <v>153</v>
      </c>
      <c r="D37" s="17">
        <v>0</v>
      </c>
      <c r="E37" s="3">
        <v>15.67</v>
      </c>
      <c r="F37" s="17">
        <v>15</v>
      </c>
      <c r="G37" s="54">
        <v>5.4</v>
      </c>
      <c r="H37" s="17">
        <v>0</v>
      </c>
      <c r="I37" s="3">
        <v>3.6</v>
      </c>
      <c r="J37" s="17">
        <v>0</v>
      </c>
      <c r="K37" s="6">
        <v>3.63</v>
      </c>
      <c r="L37" s="17">
        <v>1</v>
      </c>
      <c r="M37" s="6">
        <v>3.74</v>
      </c>
      <c r="O37" s="17">
        <v>1</v>
      </c>
      <c r="P37" s="6">
        <v>4.5</v>
      </c>
      <c r="Q37" s="17">
        <v>0</v>
      </c>
      <c r="R37" s="6">
        <v>4.39</v>
      </c>
      <c r="S37" s="17">
        <v>11</v>
      </c>
      <c r="T37" s="6">
        <v>5.68</v>
      </c>
      <c r="U37" s="17">
        <v>0</v>
      </c>
      <c r="V37" s="6">
        <v>4.39</v>
      </c>
      <c r="W37" s="17">
        <v>0</v>
      </c>
      <c r="X37" s="6">
        <v>4.44</v>
      </c>
      <c r="Y37" s="17">
        <v>0</v>
      </c>
      <c r="Z37" s="6">
        <v>4.39</v>
      </c>
      <c r="AA37" s="17">
        <v>0</v>
      </c>
      <c r="AB37" s="6">
        <v>4.39</v>
      </c>
      <c r="AC37" s="69"/>
      <c r="AD37" s="38"/>
    </row>
    <row r="38" spans="1:34" s="61" customFormat="1" ht="12.75">
      <c r="A38" s="59"/>
      <c r="B38" s="60"/>
      <c r="D38" s="61">
        <f>SUM(D4:D37)</f>
        <v>603639</v>
      </c>
      <c r="E38" s="62">
        <f>SUM(E4:E37)</f>
        <v>79264.53</v>
      </c>
      <c r="F38" s="61">
        <f>SUM(F4:F37)</f>
        <v>459420</v>
      </c>
      <c r="G38" s="63">
        <f>SUM(G4:G37)</f>
        <v>62000.22</v>
      </c>
      <c r="H38" s="61">
        <f>SUM(H3:H37)</f>
        <v>355231</v>
      </c>
      <c r="I38" s="62">
        <f>SUM(I3:I37)</f>
        <v>52250.27999999999</v>
      </c>
      <c r="J38" s="59">
        <f>SUM(J4:J37)</f>
        <v>376605</v>
      </c>
      <c r="K38" s="62">
        <f>SUM(K4:K37)</f>
        <v>55580.560000000005</v>
      </c>
      <c r="L38" s="59">
        <f>SUM(L4:L37)</f>
        <v>408587</v>
      </c>
      <c r="M38" s="62">
        <f>SUM(M4:M37)</f>
        <v>60770.19</v>
      </c>
      <c r="O38" s="59">
        <f>SUM(O4:O37)</f>
        <v>414720</v>
      </c>
      <c r="P38" s="62">
        <f>SUM(P3:P37)</f>
        <v>58673.86000000001</v>
      </c>
      <c r="Q38" s="64">
        <f aca="true" t="shared" si="0" ref="Q38:AB38">SUM(Q4:Q37)</f>
        <v>410474</v>
      </c>
      <c r="R38" s="61">
        <f t="shared" si="0"/>
        <v>59703.710000000014</v>
      </c>
      <c r="S38" s="71">
        <f t="shared" si="0"/>
        <v>292412.345</v>
      </c>
      <c r="T38" s="62">
        <f t="shared" si="0"/>
        <v>47420.780000000006</v>
      </c>
      <c r="U38" s="59">
        <f t="shared" si="0"/>
        <v>364492.155</v>
      </c>
      <c r="V38" s="62">
        <f t="shared" si="0"/>
        <v>52913.53999999999</v>
      </c>
      <c r="W38" s="71">
        <f t="shared" si="0"/>
        <v>414693.02</v>
      </c>
      <c r="X38" s="62">
        <f t="shared" si="0"/>
        <v>58244.91</v>
      </c>
      <c r="Y38" s="59">
        <f t="shared" si="0"/>
        <v>354759.69</v>
      </c>
      <c r="Z38" s="62">
        <f t="shared" si="0"/>
        <v>50625.00000000001</v>
      </c>
      <c r="AA38" s="59">
        <f t="shared" si="0"/>
        <v>434320.63</v>
      </c>
      <c r="AB38" s="62">
        <f t="shared" si="0"/>
        <v>60141.530000000006</v>
      </c>
      <c r="AC38" s="59">
        <f>SUM(AC5:AC36)</f>
        <v>0</v>
      </c>
      <c r="AD38" s="62">
        <f>SUM(AD5:AD36)</f>
        <v>0</v>
      </c>
      <c r="AE38" s="59"/>
      <c r="AF38" s="59"/>
      <c r="AG38" s="59"/>
      <c r="AH38" s="59"/>
    </row>
    <row r="39" spans="17:18" ht="12.75">
      <c r="Q39" s="65"/>
      <c r="R39" s="3"/>
    </row>
    <row r="50" spans="19:20" ht="12.75">
      <c r="S50" s="66"/>
      <c r="T50" s="3"/>
    </row>
    <row r="65536" spans="19:22" ht="12.75">
      <c r="S65536" s="66"/>
      <c r="T65536" s="3"/>
      <c r="V65536" s="3"/>
    </row>
  </sheetData>
  <sheetProtection/>
  <mergeCells count="12">
    <mergeCell ref="Q1:R1"/>
    <mergeCell ref="S1:T1"/>
    <mergeCell ref="U1:V1"/>
    <mergeCell ref="W1:X1"/>
    <mergeCell ref="Y1:Z1"/>
    <mergeCell ref="AA1:AB1"/>
    <mergeCell ref="D1:E1"/>
    <mergeCell ref="F1:G1"/>
    <mergeCell ref="H1:I1"/>
    <mergeCell ref="J1:K1"/>
    <mergeCell ref="L1:M1"/>
    <mergeCell ref="O1:P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H65536"/>
  <sheetViews>
    <sheetView zoomScalePageLayoutView="0" workbookViewId="0" topLeftCell="A21">
      <pane xSplit="7365" topLeftCell="I1" activePane="topRight" state="split"/>
      <selection pane="topLeft" activeCell="A1" sqref="A1:IV16384"/>
      <selection pane="topRight" activeCell="AF19" sqref="AF19"/>
    </sheetView>
  </sheetViews>
  <sheetFormatPr defaultColWidth="9.140625" defaultRowHeight="12.75"/>
  <cols>
    <col min="1" max="1" width="20.00390625" style="6" customWidth="1"/>
    <col min="2" max="2" width="20.00390625" style="50" customWidth="1"/>
    <col min="3" max="3" width="26.421875" style="38" customWidth="1"/>
    <col min="4" max="4" width="11.421875" style="0" customWidth="1"/>
    <col min="5" max="5" width="9.7109375" style="3" customWidth="1"/>
    <col min="6" max="6" width="9.7109375" style="0" customWidth="1"/>
    <col min="7" max="7" width="9.57421875" style="6" customWidth="1"/>
    <col min="8" max="8" width="11.00390625" style="0" customWidth="1"/>
    <col min="9" max="9" width="9.421875" style="6" customWidth="1"/>
    <col min="10" max="10" width="10.8515625" style="0" customWidth="1"/>
    <col min="11" max="11" width="9.140625" style="6" customWidth="1"/>
    <col min="12" max="12" width="11.140625" style="0" customWidth="1"/>
    <col min="13" max="13" width="9.140625" style="6" customWidth="1"/>
    <col min="14" max="14" width="0" style="38" hidden="1" customWidth="1"/>
    <col min="15" max="15" width="9.57421875" style="0" customWidth="1"/>
    <col min="16" max="16" width="9.140625" style="6" customWidth="1"/>
    <col min="17" max="17" width="10.421875" style="0" customWidth="1"/>
    <col min="18" max="18" width="10.7109375" style="6" customWidth="1"/>
    <col min="19" max="19" width="11.28125" style="0" customWidth="1"/>
    <col min="20" max="20" width="10.8515625" style="6" customWidth="1"/>
    <col min="21" max="21" width="11.140625" style="0" customWidth="1"/>
    <col min="22" max="22" width="9.140625" style="6" customWidth="1"/>
    <col min="23" max="23" width="12.00390625" style="0" customWidth="1"/>
    <col min="24" max="24" width="11.00390625" style="6" customWidth="1"/>
    <col min="25" max="25" width="11.8515625" style="0" customWidth="1"/>
    <col min="26" max="26" width="10.421875" style="6" customWidth="1"/>
    <col min="27" max="27" width="10.8515625" style="0" customWidth="1"/>
    <col min="28" max="28" width="9.7109375" style="6" customWidth="1"/>
    <col min="30" max="30" width="12.00390625" style="0" customWidth="1"/>
  </cols>
  <sheetData>
    <row r="1" spans="1:29" s="12" customFormat="1" ht="12.75">
      <c r="A1" s="11"/>
      <c r="B1" s="47"/>
      <c r="D1" s="221" t="s">
        <v>169</v>
      </c>
      <c r="E1" s="218"/>
      <c r="F1" s="217" t="s">
        <v>170</v>
      </c>
      <c r="G1" s="218"/>
      <c r="H1" s="217" t="s">
        <v>171</v>
      </c>
      <c r="I1" s="218"/>
      <c r="J1" s="219" t="s">
        <v>172</v>
      </c>
      <c r="K1" s="224"/>
      <c r="L1" s="219" t="s">
        <v>173</v>
      </c>
      <c r="M1" s="224"/>
      <c r="O1" s="219" t="s">
        <v>174</v>
      </c>
      <c r="P1" s="224"/>
      <c r="Q1" s="219" t="s">
        <v>175</v>
      </c>
      <c r="R1" s="224"/>
      <c r="S1" s="219" t="s">
        <v>176</v>
      </c>
      <c r="T1" s="224"/>
      <c r="U1" s="219" t="s">
        <v>177</v>
      </c>
      <c r="V1" s="224"/>
      <c r="W1" s="219" t="s">
        <v>178</v>
      </c>
      <c r="X1" s="224"/>
      <c r="Y1" s="219" t="s">
        <v>179</v>
      </c>
      <c r="Z1" s="224"/>
      <c r="AA1" s="219" t="s">
        <v>180</v>
      </c>
      <c r="AB1" s="224"/>
      <c r="AC1" s="12" t="s">
        <v>37</v>
      </c>
    </row>
    <row r="2" spans="1:30" s="15" customFormat="1" ht="12.75">
      <c r="A2" s="14" t="s">
        <v>0</v>
      </c>
      <c r="B2" s="48"/>
      <c r="C2" s="15" t="s">
        <v>87</v>
      </c>
      <c r="D2" s="15" t="s">
        <v>35</v>
      </c>
      <c r="E2" s="16" t="s">
        <v>36</v>
      </c>
      <c r="F2" s="15" t="s">
        <v>35</v>
      </c>
      <c r="G2" s="14" t="s">
        <v>36</v>
      </c>
      <c r="H2" s="15" t="s">
        <v>35</v>
      </c>
      <c r="I2" s="16" t="s">
        <v>36</v>
      </c>
      <c r="J2" s="15" t="s">
        <v>35</v>
      </c>
      <c r="K2" s="15" t="s">
        <v>36</v>
      </c>
      <c r="L2" s="15" t="s">
        <v>35</v>
      </c>
      <c r="M2" s="16" t="s">
        <v>36</v>
      </c>
      <c r="O2" s="15" t="s">
        <v>35</v>
      </c>
      <c r="P2" s="16" t="s">
        <v>36</v>
      </c>
      <c r="Q2" s="15" t="s">
        <v>35</v>
      </c>
      <c r="R2" s="16" t="s">
        <v>36</v>
      </c>
      <c r="S2" s="15" t="s">
        <v>35</v>
      </c>
      <c r="T2" s="16" t="s">
        <v>36</v>
      </c>
      <c r="U2" s="15" t="s">
        <v>35</v>
      </c>
      <c r="V2" s="16" t="s">
        <v>36</v>
      </c>
      <c r="W2" s="15" t="s">
        <v>35</v>
      </c>
      <c r="X2" s="16" t="s">
        <v>36</v>
      </c>
      <c r="Y2" s="30" t="s">
        <v>35</v>
      </c>
      <c r="Z2" s="16" t="s">
        <v>36</v>
      </c>
      <c r="AA2" s="15" t="s">
        <v>35</v>
      </c>
      <c r="AB2" s="16" t="s">
        <v>36</v>
      </c>
      <c r="AC2" s="15" t="s">
        <v>35</v>
      </c>
      <c r="AD2" s="15" t="s">
        <v>36</v>
      </c>
    </row>
    <row r="3" spans="1:28" s="24" customFormat="1" ht="12.75">
      <c r="A3" s="5"/>
      <c r="B3" s="49"/>
      <c r="E3" s="25"/>
      <c r="G3" s="52"/>
      <c r="H3" s="68"/>
      <c r="I3" s="25"/>
      <c r="J3" s="16"/>
      <c r="K3" s="25"/>
      <c r="M3" s="25"/>
      <c r="N3" s="40"/>
      <c r="P3" s="25"/>
      <c r="R3" s="25"/>
      <c r="S3" s="45"/>
      <c r="T3" s="25"/>
      <c r="V3" s="25"/>
      <c r="X3" s="25"/>
      <c r="Z3" s="25"/>
      <c r="AB3" s="25"/>
    </row>
    <row r="4" spans="1:30" ht="12.75">
      <c r="A4" s="6" t="s">
        <v>1</v>
      </c>
      <c r="B4" s="51" t="s">
        <v>115</v>
      </c>
      <c r="C4" s="41" t="s">
        <v>88</v>
      </c>
      <c r="D4">
        <v>1</v>
      </c>
      <c r="E4" s="3">
        <v>5.27</v>
      </c>
      <c r="F4">
        <v>1</v>
      </c>
      <c r="G4" s="53">
        <v>5.19</v>
      </c>
      <c r="H4" s="17">
        <v>3</v>
      </c>
      <c r="I4" s="3">
        <v>5.5</v>
      </c>
      <c r="J4" s="17">
        <v>0</v>
      </c>
      <c r="K4" s="6">
        <v>5.11</v>
      </c>
      <c r="L4" s="17">
        <v>4</v>
      </c>
      <c r="M4" s="6">
        <v>5.65</v>
      </c>
      <c r="N4" s="30"/>
      <c r="O4" s="17">
        <v>1321</v>
      </c>
      <c r="P4" s="6">
        <v>188.36</v>
      </c>
      <c r="Q4" s="17">
        <v>1237</v>
      </c>
      <c r="R4" s="6">
        <v>171.8</v>
      </c>
      <c r="S4" s="17">
        <v>792</v>
      </c>
      <c r="T4" s="6">
        <v>111.62</v>
      </c>
      <c r="U4" s="17">
        <v>10</v>
      </c>
      <c r="V4" s="6">
        <v>6.47</v>
      </c>
      <c r="W4" s="17">
        <v>7</v>
      </c>
      <c r="X4" s="6">
        <v>6.06</v>
      </c>
      <c r="Y4" s="17">
        <v>250</v>
      </c>
      <c r="Z4" s="6">
        <v>37.79</v>
      </c>
      <c r="AA4" s="17">
        <v>814</v>
      </c>
      <c r="AB4" s="6">
        <v>123.87</v>
      </c>
      <c r="AC4" t="e">
        <f>D4+F4+H4+J4+#REF!+O4+Q4+S4+U4+W4+Y4+AA4</f>
        <v>#REF!</v>
      </c>
      <c r="AD4">
        <f>E4+G4+I4+K4+M4+P4+R4+T4+V4+X4+Z4+AB4</f>
        <v>672.69</v>
      </c>
    </row>
    <row r="5" spans="1:30" ht="12.75">
      <c r="A5" s="6" t="s">
        <v>1</v>
      </c>
      <c r="B5" s="51" t="s">
        <v>116</v>
      </c>
      <c r="C5" s="41" t="s">
        <v>88</v>
      </c>
      <c r="D5">
        <v>748</v>
      </c>
      <c r="E5" s="3">
        <v>120.62</v>
      </c>
      <c r="F5">
        <v>748</v>
      </c>
      <c r="G5" s="54">
        <v>119.83</v>
      </c>
      <c r="H5" s="17">
        <v>748</v>
      </c>
      <c r="I5" s="3">
        <v>119.93</v>
      </c>
      <c r="J5" s="17">
        <v>748</v>
      </c>
      <c r="K5" s="6">
        <v>119.91</v>
      </c>
      <c r="L5" s="17">
        <v>748</v>
      </c>
      <c r="M5" s="6">
        <v>119.87</v>
      </c>
      <c r="O5" s="17">
        <v>748</v>
      </c>
      <c r="P5" s="6">
        <v>123.32</v>
      </c>
      <c r="Q5" s="17">
        <v>748</v>
      </c>
      <c r="R5" s="6">
        <v>120.56</v>
      </c>
      <c r="S5" s="17">
        <v>748</v>
      </c>
      <c r="T5" s="6">
        <v>120.38</v>
      </c>
      <c r="U5" s="17">
        <v>748</v>
      </c>
      <c r="V5" s="6">
        <v>119.84</v>
      </c>
      <c r="W5" s="17">
        <v>748</v>
      </c>
      <c r="X5" s="6">
        <v>120.27</v>
      </c>
      <c r="Y5" s="17">
        <v>748</v>
      </c>
      <c r="Z5" s="6">
        <v>119.49</v>
      </c>
      <c r="AA5" s="17">
        <v>748</v>
      </c>
      <c r="AB5" s="6">
        <v>120.48</v>
      </c>
      <c r="AC5" t="e">
        <f>D5+F5+H5+J5+#REF!+O5+Q5+S5+U5+W5+Y5+AA5</f>
        <v>#REF!</v>
      </c>
      <c r="AD5">
        <f aca="true" t="shared" si="0" ref="AD5:AD34">E5+G5+I5+K5+M5+P5+R5+T5+V5+X5+Z5+AB5</f>
        <v>1444.5</v>
      </c>
    </row>
    <row r="6" spans="1:30" ht="12.75">
      <c r="A6" s="6" t="s">
        <v>1</v>
      </c>
      <c r="B6" s="51" t="s">
        <v>117</v>
      </c>
      <c r="C6" s="27" t="s">
        <v>88</v>
      </c>
      <c r="D6">
        <v>50</v>
      </c>
      <c r="E6" s="3">
        <v>12.91</v>
      </c>
      <c r="F6">
        <v>50</v>
      </c>
      <c r="G6" s="54">
        <v>12.78</v>
      </c>
      <c r="H6" s="17">
        <v>50</v>
      </c>
      <c r="I6" s="3">
        <v>12.83</v>
      </c>
      <c r="J6">
        <v>50</v>
      </c>
      <c r="K6" s="6">
        <v>12.83</v>
      </c>
      <c r="L6" s="17">
        <v>50</v>
      </c>
      <c r="M6" s="6">
        <v>12.83</v>
      </c>
      <c r="O6" s="17">
        <v>50</v>
      </c>
      <c r="P6" s="6">
        <v>13.09</v>
      </c>
      <c r="Q6" s="17">
        <v>50</v>
      </c>
      <c r="R6" s="6">
        <v>12.9</v>
      </c>
      <c r="S6" s="17">
        <v>50</v>
      </c>
      <c r="T6" s="6">
        <v>12.9</v>
      </c>
      <c r="U6" s="17">
        <v>50</v>
      </c>
      <c r="V6" s="6">
        <v>12.86</v>
      </c>
      <c r="W6" s="17">
        <v>50</v>
      </c>
      <c r="X6" s="6">
        <v>12.89</v>
      </c>
      <c r="Y6" s="17">
        <v>50</v>
      </c>
      <c r="Z6" s="6">
        <v>12.83</v>
      </c>
      <c r="AA6" s="17">
        <v>50</v>
      </c>
      <c r="AB6" s="6">
        <v>12.9</v>
      </c>
      <c r="AC6" t="e">
        <f>D6+F6+H6+L4+#REF!+O6+Q6+S6+U6+W6+Y6+AA6</f>
        <v>#REF!</v>
      </c>
      <c r="AD6">
        <f t="shared" si="0"/>
        <v>154.55</v>
      </c>
    </row>
    <row r="7" spans="1:30" ht="12.75">
      <c r="A7" s="6" t="s">
        <v>1</v>
      </c>
      <c r="B7" s="51" t="s">
        <v>118</v>
      </c>
      <c r="C7" s="27" t="s">
        <v>89</v>
      </c>
      <c r="D7">
        <v>13040</v>
      </c>
      <c r="E7" s="3">
        <v>2372.44</v>
      </c>
      <c r="F7">
        <v>12880</v>
      </c>
      <c r="G7" s="54">
        <v>2339.79</v>
      </c>
      <c r="H7" s="17">
        <v>11200</v>
      </c>
      <c r="I7" s="3">
        <v>1990.47</v>
      </c>
      <c r="J7" s="77">
        <v>14160</v>
      </c>
      <c r="K7" s="79">
        <v>2493.92</v>
      </c>
      <c r="L7" s="17">
        <v>12640</v>
      </c>
      <c r="M7" s="6">
        <v>2274.84</v>
      </c>
      <c r="O7" s="17">
        <v>29520</v>
      </c>
      <c r="P7" s="6">
        <v>3993.32</v>
      </c>
      <c r="Q7" s="17">
        <v>9120</v>
      </c>
      <c r="R7" s="6">
        <v>1807.72</v>
      </c>
      <c r="S7" s="17">
        <v>8880</v>
      </c>
      <c r="T7" s="6">
        <v>2034.96</v>
      </c>
      <c r="U7" s="17">
        <v>8800</v>
      </c>
      <c r="V7" s="6">
        <v>2019.11</v>
      </c>
      <c r="W7" s="17">
        <v>8320</v>
      </c>
      <c r="X7" s="6">
        <v>1711.58</v>
      </c>
      <c r="Y7" s="17">
        <v>8480</v>
      </c>
      <c r="Z7" s="6">
        <v>1995.97</v>
      </c>
      <c r="AA7" s="17">
        <v>9280</v>
      </c>
      <c r="AB7" s="6">
        <v>2106.46</v>
      </c>
      <c r="AC7" t="e">
        <f>D7+F7+H7+L5+#REF!+O7+Q7+S7+U7+W7+Y7+AA7</f>
        <v>#REF!</v>
      </c>
      <c r="AD7">
        <f t="shared" si="0"/>
        <v>27140.58</v>
      </c>
    </row>
    <row r="8" spans="1:30" ht="12.75">
      <c r="A8" s="6" t="s">
        <v>2</v>
      </c>
      <c r="B8" s="51" t="s">
        <v>119</v>
      </c>
      <c r="C8" s="27" t="s">
        <v>90</v>
      </c>
      <c r="D8" s="7">
        <v>156000</v>
      </c>
      <c r="E8" s="3">
        <v>18589.99</v>
      </c>
      <c r="F8">
        <v>105920</v>
      </c>
      <c r="G8" s="54">
        <v>13337.75</v>
      </c>
      <c r="H8" s="17">
        <v>72960</v>
      </c>
      <c r="I8" s="3">
        <v>9755.67</v>
      </c>
      <c r="J8">
        <v>67360</v>
      </c>
      <c r="K8" s="6">
        <v>9220.15</v>
      </c>
      <c r="L8" s="17">
        <v>58880</v>
      </c>
      <c r="M8" s="6">
        <v>8476.49</v>
      </c>
      <c r="O8" s="17">
        <v>80640</v>
      </c>
      <c r="P8" s="6">
        <v>11032.06</v>
      </c>
      <c r="Q8" s="17">
        <v>74240</v>
      </c>
      <c r="R8" s="6">
        <v>10085.49</v>
      </c>
      <c r="S8" s="69">
        <v>65760</v>
      </c>
      <c r="T8" s="6">
        <v>9234.26</v>
      </c>
      <c r="U8" s="17">
        <v>81600</v>
      </c>
      <c r="V8" s="57">
        <v>10830.41</v>
      </c>
      <c r="W8" s="17">
        <v>86720</v>
      </c>
      <c r="X8" s="6">
        <v>11404.7</v>
      </c>
      <c r="Y8" s="17">
        <v>82080</v>
      </c>
      <c r="Z8" s="6">
        <v>10703.84</v>
      </c>
      <c r="AA8" s="17">
        <v>104000</v>
      </c>
      <c r="AB8" s="6">
        <v>13427.47</v>
      </c>
      <c r="AC8" t="e">
        <f>D8+F8+H8+L6+#REF!+O8+Q8+S8+U8+W8+Y8+AA8</f>
        <v>#REF!</v>
      </c>
      <c r="AD8">
        <f t="shared" si="0"/>
        <v>136098.28</v>
      </c>
    </row>
    <row r="9" spans="1:30" ht="12.75">
      <c r="A9" s="6" t="s">
        <v>2</v>
      </c>
      <c r="B9" s="51" t="s">
        <v>120</v>
      </c>
      <c r="C9" s="27" t="s">
        <v>91</v>
      </c>
      <c r="D9">
        <v>71</v>
      </c>
      <c r="E9" s="3">
        <v>15.14</v>
      </c>
      <c r="F9">
        <v>71</v>
      </c>
      <c r="G9" s="54">
        <v>15.01</v>
      </c>
      <c r="H9" s="17">
        <v>71</v>
      </c>
      <c r="I9" s="3">
        <v>15.05</v>
      </c>
      <c r="J9">
        <v>71</v>
      </c>
      <c r="K9" s="6">
        <v>15.05</v>
      </c>
      <c r="L9" s="17">
        <v>71</v>
      </c>
      <c r="M9" s="6">
        <v>15.05</v>
      </c>
      <c r="O9" s="17">
        <v>71</v>
      </c>
      <c r="P9" s="6">
        <v>15.39</v>
      </c>
      <c r="Q9" s="17">
        <v>71</v>
      </c>
      <c r="R9" s="6">
        <v>15.13</v>
      </c>
      <c r="S9" s="70">
        <v>71</v>
      </c>
      <c r="T9" s="6">
        <v>15.12</v>
      </c>
      <c r="U9" s="17">
        <v>71</v>
      </c>
      <c r="V9" s="6">
        <v>15.07</v>
      </c>
      <c r="W9" s="17">
        <v>71</v>
      </c>
      <c r="X9" s="6">
        <v>15.1</v>
      </c>
      <c r="Y9" s="17">
        <v>71</v>
      </c>
      <c r="Z9" s="6">
        <v>15.02</v>
      </c>
      <c r="AA9" s="17">
        <v>71</v>
      </c>
      <c r="AB9" s="6">
        <v>15.12</v>
      </c>
      <c r="AC9" t="e">
        <f>D9+F9+H9+L7+#REF!+O9+Q9+S9+U9+W9+Y9+AA9</f>
        <v>#REF!</v>
      </c>
      <c r="AD9">
        <f t="shared" si="0"/>
        <v>181.25</v>
      </c>
    </row>
    <row r="10" spans="1:30" ht="12.75">
      <c r="A10" s="6" t="s">
        <v>2</v>
      </c>
      <c r="B10" s="51" t="s">
        <v>121</v>
      </c>
      <c r="C10" s="27" t="s">
        <v>91</v>
      </c>
      <c r="D10">
        <v>160</v>
      </c>
      <c r="E10" s="3">
        <v>28.91</v>
      </c>
      <c r="F10">
        <v>160</v>
      </c>
      <c r="G10" s="54">
        <v>26.63</v>
      </c>
      <c r="H10" s="17">
        <v>160</v>
      </c>
      <c r="I10" s="3">
        <v>28.75</v>
      </c>
      <c r="J10">
        <v>160</v>
      </c>
      <c r="K10" s="6">
        <v>28.75</v>
      </c>
      <c r="L10" s="17">
        <v>160</v>
      </c>
      <c r="M10" s="26">
        <v>28.74</v>
      </c>
      <c r="N10" s="41"/>
      <c r="O10" s="27">
        <v>160</v>
      </c>
      <c r="P10" s="6">
        <v>29.5</v>
      </c>
      <c r="Q10" s="17">
        <v>160</v>
      </c>
      <c r="R10" s="6">
        <v>28.9</v>
      </c>
      <c r="S10" s="70">
        <v>160</v>
      </c>
      <c r="T10" s="6">
        <v>28.86</v>
      </c>
      <c r="U10" s="17">
        <v>160</v>
      </c>
      <c r="V10" s="6">
        <v>28.74</v>
      </c>
      <c r="W10" s="17">
        <v>160</v>
      </c>
      <c r="X10" s="6">
        <v>28.84</v>
      </c>
      <c r="Y10" s="17">
        <v>160</v>
      </c>
      <c r="Z10" s="6">
        <v>28.66</v>
      </c>
      <c r="AA10" s="17">
        <v>160</v>
      </c>
      <c r="AB10" s="6">
        <v>28.87</v>
      </c>
      <c r="AC10" t="e">
        <f>D10+F10+H10+L8+#REF!+O10+Q10+S10+U10+W10+Y10+AA10</f>
        <v>#REF!</v>
      </c>
      <c r="AD10">
        <f t="shared" si="0"/>
        <v>344.15000000000003</v>
      </c>
    </row>
    <row r="11" spans="1:30" ht="12.75">
      <c r="A11" s="6" t="s">
        <v>2</v>
      </c>
      <c r="B11" s="51" t="s">
        <v>122</v>
      </c>
      <c r="C11" s="27" t="s">
        <v>92</v>
      </c>
      <c r="D11">
        <v>374</v>
      </c>
      <c r="E11" s="3">
        <v>60.31</v>
      </c>
      <c r="F11">
        <v>374</v>
      </c>
      <c r="G11" s="54">
        <v>59.91</v>
      </c>
      <c r="H11" s="17">
        <v>374</v>
      </c>
      <c r="I11" s="3">
        <v>59.97</v>
      </c>
      <c r="J11">
        <v>374</v>
      </c>
      <c r="K11" s="6">
        <v>59.96</v>
      </c>
      <c r="L11" s="17">
        <v>374</v>
      </c>
      <c r="M11" s="6">
        <v>59.94</v>
      </c>
      <c r="O11" s="28">
        <v>374</v>
      </c>
      <c r="P11" s="6">
        <v>61.66</v>
      </c>
      <c r="Q11" s="17">
        <v>374</v>
      </c>
      <c r="R11" s="6">
        <v>60.28</v>
      </c>
      <c r="S11" s="70">
        <v>374</v>
      </c>
      <c r="T11" s="6">
        <v>60.2</v>
      </c>
      <c r="U11" s="17">
        <v>374</v>
      </c>
      <c r="V11" s="6">
        <v>59.92</v>
      </c>
      <c r="W11" s="17">
        <v>374</v>
      </c>
      <c r="X11" s="6">
        <v>60.14</v>
      </c>
      <c r="Y11" s="17">
        <v>374</v>
      </c>
      <c r="Z11" s="6">
        <v>59.74</v>
      </c>
      <c r="AA11" s="17">
        <v>374</v>
      </c>
      <c r="AB11" s="6">
        <v>60.23</v>
      </c>
      <c r="AC11" t="e">
        <f>D11+F11+H11+L9+#REF!+O11+Q11+S11+U11+W11+Y11+AA11</f>
        <v>#REF!</v>
      </c>
      <c r="AD11">
        <f t="shared" si="0"/>
        <v>722.26</v>
      </c>
    </row>
    <row r="12" spans="1:30" ht="12.75">
      <c r="A12" s="6" t="s">
        <v>3</v>
      </c>
      <c r="B12" s="51" t="s">
        <v>123</v>
      </c>
      <c r="C12" s="27" t="s">
        <v>93</v>
      </c>
      <c r="D12">
        <v>7800</v>
      </c>
      <c r="E12" s="3">
        <v>1073.09</v>
      </c>
      <c r="F12">
        <v>5960</v>
      </c>
      <c r="G12" s="54">
        <v>830.95</v>
      </c>
      <c r="H12" s="17">
        <v>3880</v>
      </c>
      <c r="I12" s="3">
        <v>618.46</v>
      </c>
      <c r="J12">
        <v>3480</v>
      </c>
      <c r="K12" s="6">
        <v>571.57</v>
      </c>
      <c r="L12" s="17">
        <v>3200</v>
      </c>
      <c r="M12" s="6">
        <v>545.12</v>
      </c>
      <c r="O12" s="28">
        <v>3800</v>
      </c>
      <c r="P12" s="6">
        <v>627.86</v>
      </c>
      <c r="Q12" s="17">
        <v>3680</v>
      </c>
      <c r="R12" s="6">
        <v>600.41</v>
      </c>
      <c r="S12" s="70">
        <v>3000</v>
      </c>
      <c r="T12" s="6">
        <v>544.21</v>
      </c>
      <c r="U12" s="17">
        <v>3920</v>
      </c>
      <c r="V12" s="6">
        <v>633.49</v>
      </c>
      <c r="W12" s="17">
        <v>5640</v>
      </c>
      <c r="X12" s="6">
        <v>815.52</v>
      </c>
      <c r="Y12" s="17">
        <v>7760</v>
      </c>
      <c r="Z12" s="6">
        <v>1065.28</v>
      </c>
      <c r="AA12" s="17">
        <v>9240</v>
      </c>
      <c r="AB12" s="6">
        <v>1217.89</v>
      </c>
      <c r="AC12" t="e">
        <f>D12+F12+H12+L10+#REF!+O12+Q12+S12+U12+W12+Y12+AA12</f>
        <v>#REF!</v>
      </c>
      <c r="AD12">
        <f t="shared" si="0"/>
        <v>9143.85</v>
      </c>
    </row>
    <row r="13" spans="1:30" ht="12.75">
      <c r="A13" s="6" t="s">
        <v>76</v>
      </c>
      <c r="B13" s="51" t="s">
        <v>124</v>
      </c>
      <c r="C13" s="27" t="s">
        <v>114</v>
      </c>
      <c r="D13">
        <v>25200</v>
      </c>
      <c r="E13" s="3">
        <v>2998.44</v>
      </c>
      <c r="F13">
        <v>21040</v>
      </c>
      <c r="G13" s="54">
        <v>2402.66</v>
      </c>
      <c r="H13" s="17">
        <v>17920</v>
      </c>
      <c r="I13" s="3">
        <v>2311.58</v>
      </c>
      <c r="J13">
        <v>18640</v>
      </c>
      <c r="K13" s="6">
        <v>2379.19</v>
      </c>
      <c r="L13" s="17">
        <v>20400</v>
      </c>
      <c r="M13" s="6">
        <v>2396.05</v>
      </c>
      <c r="O13" s="28">
        <v>25680</v>
      </c>
      <c r="P13" s="6">
        <v>3094.26</v>
      </c>
      <c r="Q13" s="17">
        <v>23040</v>
      </c>
      <c r="R13" s="6">
        <v>2843.34</v>
      </c>
      <c r="S13" s="70">
        <v>20160</v>
      </c>
      <c r="T13" s="6">
        <v>2549.29</v>
      </c>
      <c r="U13" s="17">
        <v>20880</v>
      </c>
      <c r="V13" s="6">
        <v>2620.09</v>
      </c>
      <c r="W13" s="17">
        <v>24720</v>
      </c>
      <c r="X13" s="6">
        <v>3009.59</v>
      </c>
      <c r="Y13" s="17">
        <v>25920</v>
      </c>
      <c r="Z13" s="6">
        <v>3104.85</v>
      </c>
      <c r="AA13" s="17">
        <v>27200</v>
      </c>
      <c r="AB13" s="6">
        <v>3280.47</v>
      </c>
      <c r="AC13" t="e">
        <f>D13+F13+H13+L11+#REF!+O13+Q13+S13+U13+W13+Y13+AA13</f>
        <v>#REF!</v>
      </c>
      <c r="AD13">
        <f t="shared" si="0"/>
        <v>32989.810000000005</v>
      </c>
    </row>
    <row r="14" spans="1:30" ht="12.75">
      <c r="A14" s="6" t="s">
        <v>34</v>
      </c>
      <c r="B14" s="51" t="s">
        <v>125</v>
      </c>
      <c r="C14" s="27" t="s">
        <v>94</v>
      </c>
      <c r="D14">
        <v>70320</v>
      </c>
      <c r="E14" s="3">
        <v>9107.29</v>
      </c>
      <c r="F14">
        <v>52800</v>
      </c>
      <c r="G14" s="54">
        <v>7212.62</v>
      </c>
      <c r="H14" s="17">
        <v>37920</v>
      </c>
      <c r="I14" s="3">
        <v>5521.17</v>
      </c>
      <c r="J14">
        <v>34560</v>
      </c>
      <c r="K14" s="6">
        <v>5314.69</v>
      </c>
      <c r="L14" s="17">
        <v>31920</v>
      </c>
      <c r="M14" s="6">
        <v>5443.01</v>
      </c>
      <c r="O14" s="28">
        <v>47040</v>
      </c>
      <c r="P14" s="6">
        <v>7117.25</v>
      </c>
      <c r="Q14" s="17">
        <v>38160</v>
      </c>
      <c r="R14" s="6">
        <v>6107.43</v>
      </c>
      <c r="S14" s="70">
        <v>30480</v>
      </c>
      <c r="T14" s="6">
        <v>4852.95</v>
      </c>
      <c r="U14" s="17">
        <v>42720</v>
      </c>
      <c r="V14" s="6">
        <v>6052.22</v>
      </c>
      <c r="W14" s="17">
        <v>40080</v>
      </c>
      <c r="X14" s="6">
        <v>5864.69</v>
      </c>
      <c r="Y14" s="17">
        <v>31680</v>
      </c>
      <c r="Z14" s="6">
        <v>4718.5</v>
      </c>
      <c r="AA14" s="17">
        <v>51840</v>
      </c>
      <c r="AB14" s="6">
        <v>7006.07</v>
      </c>
      <c r="AC14" t="e">
        <f>D14+F14+H14+L12+#REF!+O14+Q14+S14+U14+W14+Y14+AA14</f>
        <v>#REF!</v>
      </c>
      <c r="AD14">
        <f t="shared" si="0"/>
        <v>74317.89000000001</v>
      </c>
    </row>
    <row r="15" spans="1:30" ht="12.75">
      <c r="A15" s="6" t="s">
        <v>4</v>
      </c>
      <c r="B15" s="51" t="s">
        <v>126</v>
      </c>
      <c r="C15" s="27" t="s">
        <v>95</v>
      </c>
      <c r="D15">
        <v>1635</v>
      </c>
      <c r="E15" s="3">
        <v>227.19</v>
      </c>
      <c r="F15">
        <v>1246</v>
      </c>
      <c r="G15" s="54">
        <v>174.19</v>
      </c>
      <c r="H15" s="17">
        <v>458</v>
      </c>
      <c r="I15" s="3">
        <v>67.35</v>
      </c>
      <c r="J15">
        <v>246</v>
      </c>
      <c r="K15" s="6">
        <v>61.4</v>
      </c>
      <c r="L15" s="78">
        <v>379</v>
      </c>
      <c r="M15" s="79">
        <v>73.87</v>
      </c>
      <c r="O15" s="28">
        <v>895</v>
      </c>
      <c r="P15" s="6">
        <v>159.12</v>
      </c>
      <c r="Q15" s="17">
        <v>49</v>
      </c>
      <c r="R15" s="6">
        <v>31.04</v>
      </c>
      <c r="S15" s="70">
        <v>455</v>
      </c>
      <c r="T15" s="6">
        <v>132.63</v>
      </c>
      <c r="U15" s="17">
        <v>971</v>
      </c>
      <c r="V15" s="6">
        <v>181.03</v>
      </c>
      <c r="W15" s="17">
        <v>1896</v>
      </c>
      <c r="X15" s="6">
        <v>278.48</v>
      </c>
      <c r="Y15" s="17">
        <v>33</v>
      </c>
      <c r="Z15" s="6">
        <v>29</v>
      </c>
      <c r="AA15" s="17">
        <v>41</v>
      </c>
      <c r="AB15" s="6">
        <v>44.11</v>
      </c>
      <c r="AC15" t="e">
        <f>D15+F15+H15+L13+#REF!+O15+Q15+S15+U15+W15+Y15+AA15</f>
        <v>#REF!</v>
      </c>
      <c r="AD15">
        <f t="shared" si="0"/>
        <v>1459.4099999999999</v>
      </c>
    </row>
    <row r="16" spans="1:30" ht="12.75">
      <c r="A16" s="6" t="s">
        <v>5</v>
      </c>
      <c r="B16" s="51" t="s">
        <v>127</v>
      </c>
      <c r="C16" s="27" t="s">
        <v>96</v>
      </c>
      <c r="D16">
        <v>66800</v>
      </c>
      <c r="E16" s="3">
        <v>8735.04</v>
      </c>
      <c r="F16">
        <v>49800</v>
      </c>
      <c r="G16" s="54">
        <v>7153.47</v>
      </c>
      <c r="H16" s="17">
        <v>36800</v>
      </c>
      <c r="I16" s="3">
        <v>5309.63</v>
      </c>
      <c r="J16">
        <v>39800</v>
      </c>
      <c r="K16" s="6">
        <v>5631.06</v>
      </c>
      <c r="L16" s="78">
        <v>41200</v>
      </c>
      <c r="M16" s="79">
        <v>6022.21</v>
      </c>
      <c r="O16" s="28">
        <v>96000</v>
      </c>
      <c r="P16" s="6">
        <v>13532.86</v>
      </c>
      <c r="Q16" s="17">
        <v>34600</v>
      </c>
      <c r="R16" s="6">
        <v>5162.51</v>
      </c>
      <c r="S16" s="70">
        <v>34600</v>
      </c>
      <c r="T16" s="6">
        <v>5132.81</v>
      </c>
      <c r="U16" s="17">
        <v>40800</v>
      </c>
      <c r="V16" s="6">
        <v>5806.82</v>
      </c>
      <c r="W16" s="17">
        <v>37000</v>
      </c>
      <c r="X16" s="6">
        <v>5514.44</v>
      </c>
      <c r="Y16" s="17">
        <v>35000</v>
      </c>
      <c r="Z16" s="6">
        <v>4974.58</v>
      </c>
      <c r="AA16" s="17">
        <v>51000</v>
      </c>
      <c r="AB16" s="6">
        <v>7024.81</v>
      </c>
      <c r="AC16" t="e">
        <f>D16+F16+H16+L14+#REF!+O16+Q16+S16+U16+W16+Y16+AA16</f>
        <v>#REF!</v>
      </c>
      <c r="AD16">
        <f t="shared" si="0"/>
        <v>80000.24</v>
      </c>
    </row>
    <row r="17" spans="1:30" ht="12.75">
      <c r="A17" s="26" t="s">
        <v>50</v>
      </c>
      <c r="B17" s="51" t="s">
        <v>128</v>
      </c>
      <c r="C17" s="27" t="s">
        <v>97</v>
      </c>
      <c r="D17">
        <v>640</v>
      </c>
      <c r="E17" s="3">
        <v>115.69</v>
      </c>
      <c r="F17">
        <v>640</v>
      </c>
      <c r="G17" s="55">
        <v>114.83</v>
      </c>
      <c r="H17" s="17">
        <v>640</v>
      </c>
      <c r="I17" s="3">
        <v>115.03</v>
      </c>
      <c r="J17">
        <v>640</v>
      </c>
      <c r="K17" s="57">
        <v>115.03</v>
      </c>
      <c r="L17" s="78">
        <v>640</v>
      </c>
      <c r="M17" s="79">
        <v>115.63</v>
      </c>
      <c r="O17" s="28">
        <v>1280</v>
      </c>
      <c r="P17" s="6">
        <v>233.53</v>
      </c>
      <c r="Q17" s="17">
        <v>640</v>
      </c>
      <c r="R17" s="6">
        <v>115.6</v>
      </c>
      <c r="S17" s="70">
        <v>640</v>
      </c>
      <c r="T17" s="6">
        <v>115.48</v>
      </c>
      <c r="U17" s="17">
        <v>640</v>
      </c>
      <c r="V17" s="3">
        <v>115</v>
      </c>
      <c r="W17" s="17">
        <v>640</v>
      </c>
      <c r="X17" s="3">
        <v>115.37</v>
      </c>
      <c r="Y17" s="17">
        <v>640</v>
      </c>
      <c r="Z17" s="6">
        <v>114.72</v>
      </c>
      <c r="AA17" s="17">
        <v>640</v>
      </c>
      <c r="AB17" s="6">
        <v>115.55</v>
      </c>
      <c r="AC17" t="e">
        <f>D17+F17+H17+L15+#REF!+O17+Q17+S17+U17+W17+Y17+AA17</f>
        <v>#REF!</v>
      </c>
      <c r="AD17">
        <f t="shared" si="0"/>
        <v>1501.46</v>
      </c>
    </row>
    <row r="18" spans="1:30" ht="12.75">
      <c r="A18" s="6" t="s">
        <v>6</v>
      </c>
      <c r="B18" s="51" t="s">
        <v>129</v>
      </c>
      <c r="C18" s="27" t="s">
        <v>98</v>
      </c>
      <c r="D18">
        <v>29680</v>
      </c>
      <c r="E18" s="3">
        <v>3911.78</v>
      </c>
      <c r="F18">
        <v>17520</v>
      </c>
      <c r="G18" s="54">
        <v>2503.38</v>
      </c>
      <c r="H18" s="17">
        <v>11600</v>
      </c>
      <c r="I18" s="3">
        <v>1949.61</v>
      </c>
      <c r="J18">
        <v>11200</v>
      </c>
      <c r="K18" s="6">
        <v>1878.09</v>
      </c>
      <c r="L18" s="78">
        <v>8560</v>
      </c>
      <c r="M18" s="79">
        <v>1589.19</v>
      </c>
      <c r="O18" s="28">
        <v>19040</v>
      </c>
      <c r="P18" s="6">
        <v>3430.88</v>
      </c>
      <c r="Q18" s="17">
        <v>7760</v>
      </c>
      <c r="R18" s="6">
        <v>1552.28</v>
      </c>
      <c r="S18" s="70">
        <v>8160</v>
      </c>
      <c r="T18" s="6">
        <v>1613.71</v>
      </c>
      <c r="U18" s="17">
        <v>11520</v>
      </c>
      <c r="V18" s="6">
        <v>1949.66</v>
      </c>
      <c r="W18" s="17">
        <v>13600</v>
      </c>
      <c r="X18" s="6">
        <v>2191.42</v>
      </c>
      <c r="Y18" s="17">
        <v>18320</v>
      </c>
      <c r="Z18" s="6">
        <v>2631.14</v>
      </c>
      <c r="AA18" s="17">
        <v>26480</v>
      </c>
      <c r="AB18" s="6">
        <v>3349.52</v>
      </c>
      <c r="AC18" t="e">
        <f>D18+F18+H18+L16+#REF!+O18+Q18+S18+U18+W18+Y18+AA18</f>
        <v>#REF!</v>
      </c>
      <c r="AD18">
        <f t="shared" si="0"/>
        <v>28550.66</v>
      </c>
    </row>
    <row r="19" spans="1:30" ht="12.75">
      <c r="A19" s="6" t="s">
        <v>7</v>
      </c>
      <c r="B19" s="51" t="s">
        <v>130</v>
      </c>
      <c r="C19" s="27" t="s">
        <v>99</v>
      </c>
      <c r="D19">
        <v>464</v>
      </c>
      <c r="E19" s="3">
        <v>81.96</v>
      </c>
      <c r="F19">
        <v>441</v>
      </c>
      <c r="G19" s="54">
        <v>79.32</v>
      </c>
      <c r="H19" s="17">
        <v>914</v>
      </c>
      <c r="I19" s="3">
        <v>161.82</v>
      </c>
      <c r="J19">
        <v>1304</v>
      </c>
      <c r="K19" s="6">
        <v>228.85</v>
      </c>
      <c r="L19" s="78">
        <v>1121</v>
      </c>
      <c r="M19" s="79">
        <v>220.51</v>
      </c>
      <c r="O19" s="28">
        <v>1564</v>
      </c>
      <c r="P19" s="6">
        <v>378.05</v>
      </c>
      <c r="Q19" s="17">
        <v>358</v>
      </c>
      <c r="R19" s="6">
        <v>139.41</v>
      </c>
      <c r="S19" s="70">
        <v>300</v>
      </c>
      <c r="T19" s="6">
        <v>62.58</v>
      </c>
      <c r="U19" s="17">
        <v>300</v>
      </c>
      <c r="V19" s="6">
        <v>69.6</v>
      </c>
      <c r="W19" s="17">
        <v>278</v>
      </c>
      <c r="X19" s="6">
        <v>60.87</v>
      </c>
      <c r="Y19" s="17">
        <v>215</v>
      </c>
      <c r="Z19" s="6">
        <v>54.02</v>
      </c>
      <c r="AA19" s="17">
        <v>233</v>
      </c>
      <c r="AB19" s="6">
        <v>70.26</v>
      </c>
      <c r="AC19" t="e">
        <f>D19+F19+H19+L17+#REF!+O19+Q19+S19+U19+W19+Y19+AA19</f>
        <v>#REF!</v>
      </c>
      <c r="AD19">
        <f t="shared" si="0"/>
        <v>1607.2499999999998</v>
      </c>
    </row>
    <row r="20" spans="1:30" ht="12.75">
      <c r="A20" s="26" t="s">
        <v>168</v>
      </c>
      <c r="B20" s="51" t="s">
        <v>167</v>
      </c>
      <c r="C20" s="27" t="s">
        <v>166</v>
      </c>
      <c r="D20">
        <v>1622</v>
      </c>
      <c r="E20" s="3">
        <v>196.72</v>
      </c>
      <c r="F20">
        <v>331</v>
      </c>
      <c r="G20" s="54">
        <v>43.64</v>
      </c>
      <c r="H20" s="17">
        <v>89</v>
      </c>
      <c r="I20" s="3">
        <v>14.92</v>
      </c>
      <c r="J20">
        <v>76</v>
      </c>
      <c r="K20" s="6">
        <v>13.4</v>
      </c>
      <c r="L20" s="78">
        <v>147</v>
      </c>
      <c r="M20" s="79">
        <v>21.77</v>
      </c>
      <c r="O20" s="28">
        <v>496</v>
      </c>
      <c r="P20" s="6">
        <v>70.97</v>
      </c>
      <c r="Q20" s="17">
        <v>770</v>
      </c>
      <c r="R20" s="6">
        <v>97.66</v>
      </c>
      <c r="S20" s="70">
        <v>807</v>
      </c>
      <c r="T20" s="6">
        <v>102.05</v>
      </c>
      <c r="U20" s="17">
        <v>924</v>
      </c>
      <c r="V20" s="6">
        <v>115.88</v>
      </c>
      <c r="W20" s="17">
        <v>2053</v>
      </c>
      <c r="X20" s="6">
        <v>252.32</v>
      </c>
      <c r="Y20" s="17">
        <v>2498</v>
      </c>
      <c r="Z20" s="6">
        <v>308.12</v>
      </c>
      <c r="AA20" s="17">
        <v>2642</v>
      </c>
      <c r="AB20" s="6">
        <v>326.69</v>
      </c>
      <c r="AC20" t="e">
        <f>D20+F20+H20+L18+#REF!+O20+Q20+S20+U20+W20+Y20+AA20</f>
        <v>#REF!</v>
      </c>
      <c r="AD20">
        <f t="shared" si="0"/>
        <v>1564.1399999999999</v>
      </c>
    </row>
    <row r="21" spans="1:30" ht="12.75">
      <c r="A21" s="6" t="s">
        <v>8</v>
      </c>
      <c r="B21" s="51" t="s">
        <v>131</v>
      </c>
      <c r="C21" s="27" t="s">
        <v>100</v>
      </c>
      <c r="D21">
        <v>184</v>
      </c>
      <c r="E21" s="3">
        <v>30.13</v>
      </c>
      <c r="F21">
        <v>311</v>
      </c>
      <c r="G21" s="54">
        <v>47.25</v>
      </c>
      <c r="H21" s="17">
        <v>296</v>
      </c>
      <c r="I21" s="3">
        <v>45.08</v>
      </c>
      <c r="J21">
        <v>306</v>
      </c>
      <c r="K21" s="6">
        <v>46.42</v>
      </c>
      <c r="L21" s="17">
        <v>96</v>
      </c>
      <c r="M21" s="6">
        <v>-18.12</v>
      </c>
      <c r="O21" s="28">
        <v>217</v>
      </c>
      <c r="P21" s="6">
        <v>3.82</v>
      </c>
      <c r="Q21" s="17">
        <v>176</v>
      </c>
      <c r="R21" s="6">
        <v>28.85</v>
      </c>
      <c r="S21" s="70">
        <v>148</v>
      </c>
      <c r="T21" s="6">
        <v>25.04</v>
      </c>
      <c r="U21" s="17">
        <v>0</v>
      </c>
      <c r="V21" s="6">
        <v>5.02</v>
      </c>
      <c r="W21" s="17">
        <v>0</v>
      </c>
      <c r="X21" s="6">
        <v>5.14</v>
      </c>
      <c r="Y21" s="17">
        <v>0</v>
      </c>
      <c r="Z21" s="6">
        <v>4.99</v>
      </c>
      <c r="AA21" s="17">
        <v>0</v>
      </c>
      <c r="AB21" s="6">
        <v>13.4</v>
      </c>
      <c r="AC21" t="e">
        <f>D21+F21+H21+L19+#REF!+O21+Q21+S21+U21+W21+Y21+AA21</f>
        <v>#REF!</v>
      </c>
      <c r="AD21">
        <f t="shared" si="0"/>
        <v>237.01999999999998</v>
      </c>
    </row>
    <row r="22" spans="1:30" ht="12.75">
      <c r="A22" s="6" t="s">
        <v>9</v>
      </c>
      <c r="B22" s="51" t="s">
        <v>132</v>
      </c>
      <c r="C22" s="27" t="s">
        <v>101</v>
      </c>
      <c r="D22">
        <v>2908</v>
      </c>
      <c r="E22" s="3">
        <v>373.87</v>
      </c>
      <c r="F22">
        <v>2107</v>
      </c>
      <c r="G22" s="54">
        <v>289.71</v>
      </c>
      <c r="H22" s="17">
        <v>1744</v>
      </c>
      <c r="I22" s="3">
        <v>247.29</v>
      </c>
      <c r="J22">
        <v>2308</v>
      </c>
      <c r="K22" s="6">
        <v>345.87</v>
      </c>
      <c r="L22" s="78">
        <v>2815</v>
      </c>
      <c r="M22" s="79">
        <v>372.61</v>
      </c>
      <c r="O22" s="28">
        <v>5937</v>
      </c>
      <c r="P22" s="6">
        <v>780</v>
      </c>
      <c r="Q22" s="17">
        <v>1856</v>
      </c>
      <c r="R22" s="6">
        <v>280.46</v>
      </c>
      <c r="S22" s="70">
        <v>1954</v>
      </c>
      <c r="T22" s="6">
        <v>281.59</v>
      </c>
      <c r="U22" s="17">
        <v>2023</v>
      </c>
      <c r="V22" s="6">
        <v>318.1</v>
      </c>
      <c r="W22" s="17">
        <v>1705</v>
      </c>
      <c r="X22" s="6">
        <v>284.11</v>
      </c>
      <c r="Y22" s="17">
        <v>1266</v>
      </c>
      <c r="Z22" s="6">
        <v>207.99</v>
      </c>
      <c r="AA22" s="17">
        <v>1708</v>
      </c>
      <c r="AB22" s="6">
        <v>281.91</v>
      </c>
      <c r="AC22" t="e">
        <f>D22+F22+H22+L20+#REF!+O22+Q22+S22+U22+W22+Y22+AA22</f>
        <v>#REF!</v>
      </c>
      <c r="AD22">
        <f t="shared" si="0"/>
        <v>4063.51</v>
      </c>
    </row>
    <row r="23" spans="1:30" ht="12.75">
      <c r="A23" s="6" t="s">
        <v>10</v>
      </c>
      <c r="B23" s="51" t="s">
        <v>133</v>
      </c>
      <c r="C23" s="27" t="s">
        <v>102</v>
      </c>
      <c r="D23">
        <v>15628</v>
      </c>
      <c r="E23" s="3">
        <v>1727.35</v>
      </c>
      <c r="F23">
        <v>15480</v>
      </c>
      <c r="G23" s="54">
        <v>1709.51</v>
      </c>
      <c r="H23" s="17">
        <v>11197</v>
      </c>
      <c r="I23" s="3">
        <v>1278.62</v>
      </c>
      <c r="J23">
        <v>11000</v>
      </c>
      <c r="K23" s="6">
        <v>1298.18</v>
      </c>
      <c r="L23" s="17">
        <v>11259</v>
      </c>
      <c r="M23" s="6">
        <v>1306.83</v>
      </c>
      <c r="O23" s="28">
        <v>12860</v>
      </c>
      <c r="P23" s="6">
        <v>1550.41</v>
      </c>
      <c r="Q23" s="17">
        <v>11257</v>
      </c>
      <c r="R23" s="6">
        <v>1342.67</v>
      </c>
      <c r="S23" s="70">
        <v>8751</v>
      </c>
      <c r="T23" s="6">
        <v>1103.37</v>
      </c>
      <c r="U23" s="17">
        <v>8682</v>
      </c>
      <c r="V23" s="6">
        <v>1089.44</v>
      </c>
      <c r="W23" s="17">
        <v>11231</v>
      </c>
      <c r="X23" s="6">
        <v>1327.86</v>
      </c>
      <c r="Y23" s="17">
        <v>10406</v>
      </c>
      <c r="Z23" s="6">
        <v>1214.69</v>
      </c>
      <c r="AA23" s="17">
        <v>10867</v>
      </c>
      <c r="AB23" s="6">
        <v>1315.95</v>
      </c>
      <c r="AC23" t="e">
        <f>D23+F23+H23+L21+#REF!+O23+Q23+S23+U23+W23+Y23+AA23</f>
        <v>#REF!</v>
      </c>
      <c r="AD23">
        <f t="shared" si="0"/>
        <v>16264.880000000001</v>
      </c>
    </row>
    <row r="24" spans="1:30" ht="12.75">
      <c r="A24" s="6" t="s">
        <v>12</v>
      </c>
      <c r="B24" s="51" t="s">
        <v>135</v>
      </c>
      <c r="C24" s="27" t="s">
        <v>104</v>
      </c>
      <c r="D24">
        <v>74708.25</v>
      </c>
      <c r="E24" s="3">
        <v>11240.88</v>
      </c>
      <c r="F24">
        <v>52119.945</v>
      </c>
      <c r="G24" s="54">
        <v>8949.34</v>
      </c>
      <c r="H24" s="17">
        <v>43983.255</v>
      </c>
      <c r="I24" s="3">
        <v>8726.83</v>
      </c>
      <c r="J24">
        <v>55148.76</v>
      </c>
      <c r="K24" s="6">
        <v>10847.95</v>
      </c>
      <c r="L24" s="17">
        <v>63242.115</v>
      </c>
      <c r="M24" s="6">
        <v>12357.11</v>
      </c>
      <c r="O24" s="84">
        <v>113560.95</v>
      </c>
      <c r="P24" s="6">
        <v>17160.66</v>
      </c>
      <c r="Q24" s="17">
        <v>62511.765</v>
      </c>
      <c r="R24" s="6">
        <v>11342.55</v>
      </c>
      <c r="S24" s="70">
        <v>37998.63</v>
      </c>
      <c r="T24" s="6">
        <v>8076.56</v>
      </c>
      <c r="U24" s="17">
        <v>41072.49</v>
      </c>
      <c r="V24" s="6">
        <v>8251.62</v>
      </c>
      <c r="W24" s="17">
        <v>47582.415</v>
      </c>
      <c r="X24" s="6">
        <v>8819.21</v>
      </c>
      <c r="Y24" s="17">
        <v>53760.405</v>
      </c>
      <c r="Z24" s="6">
        <v>9263.56</v>
      </c>
      <c r="AA24" s="17">
        <v>62478.99</v>
      </c>
      <c r="AB24" s="6">
        <v>10241.29</v>
      </c>
      <c r="AC24" t="e">
        <f>D24+F24+H24+L22+#REF!+O25+Q24+S24+U24+W24+Y24+AA24</f>
        <v>#REF!</v>
      </c>
      <c r="AD24">
        <f t="shared" si="0"/>
        <v>125277.56</v>
      </c>
    </row>
    <row r="25" spans="1:30" ht="12.75">
      <c r="A25" s="6" t="s">
        <v>13</v>
      </c>
      <c r="B25" s="51" t="s">
        <v>136</v>
      </c>
      <c r="C25" s="27" t="s">
        <v>105</v>
      </c>
      <c r="D25">
        <v>4135</v>
      </c>
      <c r="E25" s="3">
        <v>731.65</v>
      </c>
      <c r="F25">
        <v>3602</v>
      </c>
      <c r="G25" s="54">
        <v>748.37</v>
      </c>
      <c r="H25" s="17">
        <v>2202</v>
      </c>
      <c r="I25" s="3">
        <v>549.83</v>
      </c>
      <c r="J25">
        <v>935</v>
      </c>
      <c r="K25" s="6">
        <v>417.94</v>
      </c>
      <c r="L25" s="17">
        <v>570</v>
      </c>
      <c r="M25" s="6">
        <v>361.28</v>
      </c>
      <c r="O25" s="83">
        <v>318</v>
      </c>
      <c r="P25" s="6">
        <v>382.3</v>
      </c>
      <c r="Q25" s="17">
        <v>1269</v>
      </c>
      <c r="R25" s="6">
        <v>558.48</v>
      </c>
      <c r="S25" s="70">
        <v>1208</v>
      </c>
      <c r="T25" s="6">
        <v>544.32</v>
      </c>
      <c r="U25" s="17">
        <v>2379</v>
      </c>
      <c r="V25" s="6">
        <v>576.12</v>
      </c>
      <c r="W25" s="17">
        <v>3026</v>
      </c>
      <c r="X25" s="6">
        <v>757.58</v>
      </c>
      <c r="Y25" s="17">
        <v>5301</v>
      </c>
      <c r="Z25" s="6">
        <v>1002.3</v>
      </c>
      <c r="AA25" s="17">
        <v>5055</v>
      </c>
      <c r="AB25" s="6">
        <v>885.17</v>
      </c>
      <c r="AC25" t="e">
        <f>D25+F25+H25+L23+#REF!+O26+Q25+S25+U25+W25+Y25+AA25</f>
        <v>#REF!</v>
      </c>
      <c r="AD25">
        <f t="shared" si="0"/>
        <v>7515.34</v>
      </c>
    </row>
    <row r="26" spans="1:30" ht="12.75">
      <c r="A26" s="6" t="s">
        <v>14</v>
      </c>
      <c r="B26" s="51" t="s">
        <v>137</v>
      </c>
      <c r="C26" s="27" t="s">
        <v>106</v>
      </c>
      <c r="D26">
        <v>51600</v>
      </c>
      <c r="E26" s="3">
        <v>7280.68</v>
      </c>
      <c r="F26">
        <v>38800</v>
      </c>
      <c r="G26" s="54">
        <v>5961.34</v>
      </c>
      <c r="H26" s="17">
        <v>28800</v>
      </c>
      <c r="I26" s="3">
        <v>4807.67</v>
      </c>
      <c r="J26">
        <v>29200</v>
      </c>
      <c r="K26" s="6">
        <v>4921</v>
      </c>
      <c r="L26" s="17">
        <v>18000</v>
      </c>
      <c r="M26" s="6">
        <v>4005.2</v>
      </c>
      <c r="O26" s="83">
        <v>33200</v>
      </c>
      <c r="P26" s="6">
        <v>5347.03</v>
      </c>
      <c r="Q26" s="17">
        <v>10800</v>
      </c>
      <c r="R26" s="6">
        <v>3425.76</v>
      </c>
      <c r="S26" s="70">
        <v>19600</v>
      </c>
      <c r="T26" s="6">
        <v>4182.09</v>
      </c>
      <c r="U26" s="17">
        <v>25600</v>
      </c>
      <c r="V26" s="6">
        <v>4812.88</v>
      </c>
      <c r="W26" s="17">
        <v>39200</v>
      </c>
      <c r="X26" s="6">
        <v>6250.55</v>
      </c>
      <c r="Y26" s="17">
        <v>27200</v>
      </c>
      <c r="Z26" s="6">
        <v>5118.62</v>
      </c>
      <c r="AA26" s="17">
        <v>38000</v>
      </c>
      <c r="AB26" s="6">
        <v>6524.42</v>
      </c>
      <c r="AC26" t="e">
        <f>D26+F26+H26+L24+#REF!+O27+Q26+S26+U26+W26+Y26+AA26</f>
        <v>#REF!</v>
      </c>
      <c r="AD26">
        <f t="shared" si="0"/>
        <v>62637.240000000005</v>
      </c>
    </row>
    <row r="27" spans="1:30" ht="12.75">
      <c r="A27" s="6" t="s">
        <v>15</v>
      </c>
      <c r="B27" s="51" t="s">
        <v>138</v>
      </c>
      <c r="C27" s="27" t="s">
        <v>107</v>
      </c>
      <c r="D27">
        <v>273</v>
      </c>
      <c r="E27" s="3">
        <v>42.22</v>
      </c>
      <c r="F27">
        <v>922</v>
      </c>
      <c r="G27" s="54">
        <v>128.75</v>
      </c>
      <c r="H27" s="17">
        <v>2800</v>
      </c>
      <c r="I27" s="3">
        <v>383.2</v>
      </c>
      <c r="J27">
        <v>5926</v>
      </c>
      <c r="K27" s="6">
        <v>805.11</v>
      </c>
      <c r="L27" s="78">
        <v>7112</v>
      </c>
      <c r="M27" s="79">
        <v>970.7</v>
      </c>
      <c r="O27" s="28">
        <v>11158</v>
      </c>
      <c r="P27" s="6">
        <v>1537.08</v>
      </c>
      <c r="Q27" s="17">
        <v>1517</v>
      </c>
      <c r="R27" s="6">
        <v>209.17</v>
      </c>
      <c r="S27" s="70">
        <v>1312</v>
      </c>
      <c r="T27" s="6">
        <v>181.57</v>
      </c>
      <c r="U27" s="17">
        <v>393</v>
      </c>
      <c r="V27" s="3">
        <v>53.27</v>
      </c>
      <c r="W27" s="17">
        <v>433</v>
      </c>
      <c r="X27" s="6">
        <v>63.68</v>
      </c>
      <c r="Y27" s="17">
        <v>1102</v>
      </c>
      <c r="Z27" s="6">
        <v>147.15</v>
      </c>
      <c r="AA27" s="17">
        <v>1088</v>
      </c>
      <c r="AB27" s="6">
        <v>160.53</v>
      </c>
      <c r="AC27" t="e">
        <f>D27+F27+H27+L25+#REF!+O28+Q27+S27+U27+W27+Y27+AA27</f>
        <v>#REF!</v>
      </c>
      <c r="AD27">
        <f t="shared" si="0"/>
        <v>4682.43</v>
      </c>
    </row>
    <row r="28" spans="1:30" ht="12.75">
      <c r="A28" s="6" t="s">
        <v>15</v>
      </c>
      <c r="B28" s="51" t="s">
        <v>139</v>
      </c>
      <c r="C28" s="27" t="s">
        <v>107</v>
      </c>
      <c r="D28">
        <v>50</v>
      </c>
      <c r="E28" s="3">
        <v>12.91</v>
      </c>
      <c r="F28">
        <v>50</v>
      </c>
      <c r="G28" s="54">
        <v>12.84</v>
      </c>
      <c r="H28" s="17">
        <v>50</v>
      </c>
      <c r="I28" s="3">
        <v>12.83</v>
      </c>
      <c r="J28">
        <v>50</v>
      </c>
      <c r="K28" s="6">
        <v>12.83</v>
      </c>
      <c r="L28" s="78">
        <v>50</v>
      </c>
      <c r="M28" s="79">
        <v>12.91</v>
      </c>
      <c r="O28" s="28">
        <v>100</v>
      </c>
      <c r="P28" s="6">
        <v>25.99</v>
      </c>
      <c r="Q28" s="17">
        <v>50</v>
      </c>
      <c r="R28" s="6">
        <v>12.9</v>
      </c>
      <c r="S28" s="70">
        <v>50</v>
      </c>
      <c r="T28" s="6">
        <v>12.9</v>
      </c>
      <c r="U28" s="17">
        <v>50</v>
      </c>
      <c r="V28" s="6">
        <v>12.86</v>
      </c>
      <c r="W28" s="17">
        <v>50</v>
      </c>
      <c r="X28" s="6">
        <v>12.88</v>
      </c>
      <c r="Y28" s="17">
        <v>50</v>
      </c>
      <c r="Z28" s="6">
        <v>12.83</v>
      </c>
      <c r="AA28" s="17">
        <v>50</v>
      </c>
      <c r="AB28" s="6">
        <v>12.9</v>
      </c>
      <c r="AC28" t="e">
        <f>D28+F28+H28+L26+#REF!+O29+Q28+S28+U28+W28+Y28+AA28</f>
        <v>#REF!</v>
      </c>
      <c r="AD28">
        <f t="shared" si="0"/>
        <v>167.58</v>
      </c>
    </row>
    <row r="29" spans="1:30" ht="12.75">
      <c r="A29" s="6" t="s">
        <v>16</v>
      </c>
      <c r="B29" s="51" t="s">
        <v>140</v>
      </c>
      <c r="C29" s="27" t="s">
        <v>108</v>
      </c>
      <c r="D29">
        <v>494</v>
      </c>
      <c r="E29" s="3">
        <v>66.53</v>
      </c>
      <c r="F29">
        <v>292</v>
      </c>
      <c r="G29" s="54">
        <v>38.92</v>
      </c>
      <c r="H29" s="17">
        <v>308</v>
      </c>
      <c r="I29" s="3">
        <v>41.25</v>
      </c>
      <c r="J29">
        <v>192</v>
      </c>
      <c r="K29" s="6">
        <v>25.71</v>
      </c>
      <c r="L29" s="22">
        <v>128</v>
      </c>
      <c r="M29" s="6">
        <v>17.13</v>
      </c>
      <c r="O29" s="28">
        <v>961</v>
      </c>
      <c r="P29" s="6">
        <v>133.25</v>
      </c>
      <c r="Q29" s="17">
        <v>5696</v>
      </c>
      <c r="R29" s="6">
        <v>767.22</v>
      </c>
      <c r="S29" s="70">
        <v>3621</v>
      </c>
      <c r="T29" s="6">
        <v>486.68</v>
      </c>
      <c r="U29" s="17">
        <v>2215</v>
      </c>
      <c r="V29" s="6">
        <v>297.72</v>
      </c>
      <c r="W29" s="17">
        <v>1903</v>
      </c>
      <c r="X29" s="6">
        <v>256.62</v>
      </c>
      <c r="Y29" s="17">
        <v>2772</v>
      </c>
      <c r="Z29" s="6">
        <v>375.15</v>
      </c>
      <c r="AA29" s="17">
        <v>2624</v>
      </c>
      <c r="AB29" s="6">
        <v>363.9</v>
      </c>
      <c r="AC29" t="e">
        <f>D29+F29+H29+L27+#REF!+O30+Q29+S29+U29+W29+Y29+AA29</f>
        <v>#REF!</v>
      </c>
      <c r="AD29">
        <f t="shared" si="0"/>
        <v>2870.0800000000004</v>
      </c>
    </row>
    <row r="30" spans="1:30" ht="12.75">
      <c r="A30" s="6" t="s">
        <v>17</v>
      </c>
      <c r="B30" s="51" t="s">
        <v>141</v>
      </c>
      <c r="C30" s="27" t="s">
        <v>109</v>
      </c>
      <c r="D30">
        <v>17600</v>
      </c>
      <c r="E30" s="3">
        <v>2147.65</v>
      </c>
      <c r="F30">
        <v>10800</v>
      </c>
      <c r="G30" s="54">
        <v>1516.83</v>
      </c>
      <c r="H30" s="17">
        <v>6280</v>
      </c>
      <c r="I30" s="3">
        <v>1090.15</v>
      </c>
      <c r="J30">
        <v>4400</v>
      </c>
      <c r="K30" s="6">
        <v>911.88</v>
      </c>
      <c r="L30" s="17">
        <v>3480</v>
      </c>
      <c r="M30" s="6">
        <v>825.38</v>
      </c>
      <c r="O30" s="28">
        <v>4520</v>
      </c>
      <c r="P30" s="6">
        <v>955.7</v>
      </c>
      <c r="Q30" s="17">
        <v>4920</v>
      </c>
      <c r="R30" s="6">
        <v>1001.86</v>
      </c>
      <c r="S30" s="70">
        <v>5600</v>
      </c>
      <c r="T30" s="6">
        <v>1496.51</v>
      </c>
      <c r="U30" s="17">
        <v>6680</v>
      </c>
      <c r="V30" s="6">
        <v>1332.6</v>
      </c>
      <c r="W30" s="17">
        <v>12840</v>
      </c>
      <c r="X30" s="6">
        <v>1926.5</v>
      </c>
      <c r="Y30" s="17">
        <v>16280</v>
      </c>
      <c r="Z30" s="6">
        <v>2258.22</v>
      </c>
      <c r="AA30" s="17">
        <v>18560</v>
      </c>
      <c r="AB30" s="6">
        <v>2495.02</v>
      </c>
      <c r="AC30" t="e">
        <f>D30+F30+H30+L28+#REF!+O31+Q30+S30+U30+W30+Y30+AA30</f>
        <v>#REF!</v>
      </c>
      <c r="AD30">
        <f t="shared" si="0"/>
        <v>17958.3</v>
      </c>
    </row>
    <row r="31" spans="1:30" ht="12.75">
      <c r="A31" s="6" t="s">
        <v>18</v>
      </c>
      <c r="B31" s="51" t="s">
        <v>142</v>
      </c>
      <c r="C31" s="28" t="s">
        <v>110</v>
      </c>
      <c r="D31">
        <v>5971</v>
      </c>
      <c r="E31" s="3">
        <v>731.88</v>
      </c>
      <c r="F31">
        <v>4301</v>
      </c>
      <c r="G31" s="54">
        <v>549.12</v>
      </c>
      <c r="H31" s="17">
        <v>3205</v>
      </c>
      <c r="I31" s="3">
        <v>437.71</v>
      </c>
      <c r="J31">
        <v>2836</v>
      </c>
      <c r="K31" s="6">
        <v>410.68</v>
      </c>
      <c r="L31" s="17">
        <v>3271</v>
      </c>
      <c r="M31" s="6">
        <v>443.67</v>
      </c>
      <c r="O31" s="28">
        <v>3803</v>
      </c>
      <c r="P31" s="6">
        <v>528.63</v>
      </c>
      <c r="Q31" s="17">
        <v>-6609</v>
      </c>
      <c r="R31" s="6">
        <v>-531.18</v>
      </c>
      <c r="S31" s="70">
        <v>290</v>
      </c>
      <c r="T31" s="6">
        <v>464.3</v>
      </c>
      <c r="U31" s="17">
        <v>3898</v>
      </c>
      <c r="V31" s="6">
        <v>503.95</v>
      </c>
      <c r="W31" s="17">
        <v>4794</v>
      </c>
      <c r="X31" s="6">
        <v>600.44</v>
      </c>
      <c r="Y31" s="17">
        <v>5763</v>
      </c>
      <c r="Z31" s="6">
        <v>704.01</v>
      </c>
      <c r="AA31" s="17">
        <v>5587</v>
      </c>
      <c r="AB31" s="6">
        <v>693.53</v>
      </c>
      <c r="AC31" t="e">
        <f>D31+F31+H31+L29+#REF!+O32+Q31+S31+U31+W31+Y31+AA31</f>
        <v>#REF!</v>
      </c>
      <c r="AD31">
        <f t="shared" si="0"/>
        <v>5536.740000000001</v>
      </c>
    </row>
    <row r="32" spans="1:30" ht="12.75">
      <c r="A32" s="6" t="s">
        <v>19</v>
      </c>
      <c r="B32" s="51" t="s">
        <v>143</v>
      </c>
      <c r="C32" s="28" t="s">
        <v>111</v>
      </c>
      <c r="D32">
        <v>11440</v>
      </c>
      <c r="E32" s="3">
        <v>1393.53</v>
      </c>
      <c r="F32">
        <v>9000</v>
      </c>
      <c r="G32" s="54">
        <v>1158.7</v>
      </c>
      <c r="H32" s="17">
        <v>6880</v>
      </c>
      <c r="I32" s="3">
        <v>927.28</v>
      </c>
      <c r="J32">
        <v>6720</v>
      </c>
      <c r="K32" s="6">
        <v>904.29</v>
      </c>
      <c r="L32" s="17">
        <v>5880</v>
      </c>
      <c r="M32" s="6">
        <v>782.39</v>
      </c>
      <c r="O32" s="28">
        <v>7520</v>
      </c>
      <c r="P32" s="6">
        <v>1021.61</v>
      </c>
      <c r="Q32" s="17">
        <v>7040</v>
      </c>
      <c r="R32" s="6">
        <v>944.35</v>
      </c>
      <c r="S32" s="70">
        <v>8280</v>
      </c>
      <c r="T32" s="6">
        <v>1053.66</v>
      </c>
      <c r="U32" s="17">
        <v>4760</v>
      </c>
      <c r="V32" s="6">
        <v>726.37</v>
      </c>
      <c r="W32" s="17">
        <v>5760</v>
      </c>
      <c r="X32" s="6">
        <v>959.93</v>
      </c>
      <c r="Y32" s="17">
        <v>6640</v>
      </c>
      <c r="Z32" s="6">
        <v>937.79</v>
      </c>
      <c r="AA32" s="17">
        <v>7640</v>
      </c>
      <c r="AB32" s="6">
        <v>1057.07</v>
      </c>
      <c r="AC32" t="e">
        <f>D32+F32+H32+L30+#REF!+O33+Q32+S32+U32+W32+Y32+AA32</f>
        <v>#REF!</v>
      </c>
      <c r="AD32">
        <f t="shared" si="0"/>
        <v>11866.970000000001</v>
      </c>
    </row>
    <row r="33" spans="1:30" s="38" customFormat="1" ht="12.75">
      <c r="A33" s="6" t="s">
        <v>21</v>
      </c>
      <c r="B33" s="51" t="s">
        <v>145</v>
      </c>
      <c r="C33" s="41" t="s">
        <v>113</v>
      </c>
      <c r="D33" s="38">
        <v>1979</v>
      </c>
      <c r="E33" s="3">
        <v>255.57</v>
      </c>
      <c r="F33" s="38">
        <v>594</v>
      </c>
      <c r="G33" s="54">
        <v>161.2</v>
      </c>
      <c r="H33" s="17">
        <v>965</v>
      </c>
      <c r="I33" s="3">
        <v>219.95</v>
      </c>
      <c r="J33" s="38">
        <v>1994</v>
      </c>
      <c r="K33" s="38">
        <v>331.69</v>
      </c>
      <c r="L33" s="75">
        <v>1746</v>
      </c>
      <c r="M33" s="6">
        <v>300.67</v>
      </c>
      <c r="O33" s="28">
        <v>4199</v>
      </c>
      <c r="P33" s="6">
        <v>559.8</v>
      </c>
      <c r="Q33" s="17">
        <v>1492</v>
      </c>
      <c r="R33" s="6">
        <v>262.5</v>
      </c>
      <c r="S33" s="70">
        <v>692</v>
      </c>
      <c r="T33" s="6">
        <v>178.71</v>
      </c>
      <c r="U33" s="17">
        <v>763</v>
      </c>
      <c r="V33" s="6">
        <v>184.15</v>
      </c>
      <c r="W33" s="17">
        <v>1044</v>
      </c>
      <c r="X33" s="3">
        <v>157.26</v>
      </c>
      <c r="Y33" s="17">
        <v>1075</v>
      </c>
      <c r="Z33" s="6">
        <v>164.28</v>
      </c>
      <c r="AA33" s="17">
        <v>975</v>
      </c>
      <c r="AB33" s="6">
        <v>149.29</v>
      </c>
      <c r="AC33" t="e">
        <f>D33+F33+H33+L31+#REF!+O34+Q33+S33+U33+W33+Y33+AA33</f>
        <v>#REF!</v>
      </c>
      <c r="AD33">
        <f t="shared" si="0"/>
        <v>2925.07</v>
      </c>
    </row>
    <row r="34" spans="1:30" s="38" customFormat="1" ht="12.75">
      <c r="A34" s="38" t="s">
        <v>151</v>
      </c>
      <c r="B34" s="50" t="s">
        <v>152</v>
      </c>
      <c r="C34" s="27" t="s">
        <v>153</v>
      </c>
      <c r="D34" s="17">
        <v>0</v>
      </c>
      <c r="E34" s="58">
        <v>4.39</v>
      </c>
      <c r="F34" s="17">
        <v>0</v>
      </c>
      <c r="G34" s="74">
        <v>4.36</v>
      </c>
      <c r="H34" s="17">
        <v>0</v>
      </c>
      <c r="I34" s="58">
        <v>4.36</v>
      </c>
      <c r="J34" s="17">
        <v>0</v>
      </c>
      <c r="K34" s="38">
        <v>4.36</v>
      </c>
      <c r="L34" s="80">
        <v>6</v>
      </c>
      <c r="M34" s="81">
        <v>5.06</v>
      </c>
      <c r="O34" s="28">
        <v>29</v>
      </c>
      <c r="P34" s="57">
        <v>13.9</v>
      </c>
      <c r="Q34" s="17">
        <v>46</v>
      </c>
      <c r="R34" s="57">
        <v>11.48</v>
      </c>
      <c r="S34" s="70">
        <v>1230</v>
      </c>
      <c r="T34" s="57">
        <v>152.38</v>
      </c>
      <c r="U34" s="17">
        <v>0</v>
      </c>
      <c r="V34" s="57">
        <v>5.14</v>
      </c>
      <c r="W34" s="17">
        <v>0</v>
      </c>
      <c r="X34" s="57">
        <v>5.14</v>
      </c>
      <c r="Y34" s="17">
        <v>0</v>
      </c>
      <c r="Z34" s="57">
        <v>5.12</v>
      </c>
      <c r="AA34" s="17">
        <v>5</v>
      </c>
      <c r="AB34" s="57">
        <v>14.08</v>
      </c>
      <c r="AC34" s="38">
        <f>D34+F34+H34+L32+L34+O35+Q34+S34+U34+W34+Y34+AA34</f>
        <v>7358</v>
      </c>
      <c r="AD34" s="38">
        <f t="shared" si="0"/>
        <v>229.76999999999998</v>
      </c>
    </row>
    <row r="35" spans="1:28" ht="12.75">
      <c r="A35" s="6" t="s">
        <v>181</v>
      </c>
      <c r="B35" s="50" t="s">
        <v>182</v>
      </c>
      <c r="C35" s="27" t="s">
        <v>183</v>
      </c>
      <c r="D35" s="17"/>
      <c r="F35" s="17"/>
      <c r="G35" s="54"/>
      <c r="H35" s="17"/>
      <c r="I35" s="3"/>
      <c r="J35" s="17">
        <v>14</v>
      </c>
      <c r="K35" s="6">
        <v>59.9</v>
      </c>
      <c r="L35" s="73">
        <v>266</v>
      </c>
      <c r="M35" s="6">
        <v>41.02</v>
      </c>
      <c r="O35" s="28">
        <v>191</v>
      </c>
      <c r="P35" s="6">
        <v>31.61</v>
      </c>
      <c r="Q35" s="17">
        <v>262</v>
      </c>
      <c r="R35" s="57">
        <v>40.44</v>
      </c>
      <c r="S35" s="70">
        <v>229</v>
      </c>
      <c r="T35" s="6">
        <v>35.93</v>
      </c>
      <c r="U35" s="17">
        <v>221</v>
      </c>
      <c r="V35" s="6">
        <v>34.71</v>
      </c>
      <c r="W35" s="17">
        <v>214</v>
      </c>
      <c r="X35" s="6">
        <v>33.98</v>
      </c>
      <c r="Y35" s="17">
        <v>203</v>
      </c>
      <c r="Z35" s="6">
        <v>32.34</v>
      </c>
      <c r="AA35" s="17">
        <v>232</v>
      </c>
      <c r="AB35" s="6">
        <v>44.88</v>
      </c>
    </row>
    <row r="36" spans="1:34" s="61" customFormat="1" ht="12.75">
      <c r="A36" s="59"/>
      <c r="B36" s="60"/>
      <c r="D36" s="61">
        <f>SUM(D4:D34)</f>
        <v>561575.25</v>
      </c>
      <c r="E36" s="62">
        <f>SUM(E4:E34)</f>
        <v>73692.03000000001</v>
      </c>
      <c r="F36" s="61">
        <f>SUM(F4:F34)</f>
        <v>408360.945</v>
      </c>
      <c r="G36" s="63">
        <f>SUM(G4:G34)</f>
        <v>57708.189999999995</v>
      </c>
      <c r="H36" s="61">
        <f>SUM(H3:H34)</f>
        <v>304497.255</v>
      </c>
      <c r="I36" s="62">
        <f>SUM(I3:I34)</f>
        <v>46829.78999999999</v>
      </c>
      <c r="J36" s="72">
        <f>SUM(J4:J35)</f>
        <v>313898.76</v>
      </c>
      <c r="K36" s="62">
        <f>SUM(K4:K35)</f>
        <v>49492.770000000004</v>
      </c>
      <c r="L36" s="59">
        <f>SUM(L4:L35)</f>
        <v>298415.115</v>
      </c>
      <c r="M36" s="62">
        <f>SUM(M4:M35)</f>
        <v>49204.609999999986</v>
      </c>
      <c r="O36" s="56">
        <f>SUM(O3:O35)</f>
        <v>507252.95</v>
      </c>
      <c r="P36" s="62">
        <f>SUM(P3:P35)</f>
        <v>74133.27000000002</v>
      </c>
      <c r="Q36" s="85">
        <f>SUM(Q3:Q35)</f>
        <v>297340.765</v>
      </c>
      <c r="R36" s="61">
        <f>SUM(R4:R35)</f>
        <v>48649.97</v>
      </c>
      <c r="S36" s="71">
        <f>SUM(S4:S35)</f>
        <v>266400.63</v>
      </c>
      <c r="T36" s="62">
        <f>SUM(T4:T35)</f>
        <v>44999.62000000002</v>
      </c>
      <c r="U36" s="59">
        <f>SUM(U4:U35)</f>
        <v>313224.49</v>
      </c>
      <c r="V36" s="62">
        <f>SUM(V4:V35)</f>
        <v>48840.15999999999</v>
      </c>
      <c r="W36" s="71">
        <f>SUM(W3:W35)</f>
        <v>352139.415</v>
      </c>
      <c r="X36" s="62">
        <f>SUM(X4:X35)</f>
        <v>52923.16</v>
      </c>
      <c r="Y36" s="59">
        <f>SUM(Y4:Y35)</f>
        <v>346097.405</v>
      </c>
      <c r="Z36" s="62">
        <f>SUM(Z4:Z35)</f>
        <v>51422.59000000002</v>
      </c>
      <c r="AA36" s="59">
        <f>SUM(AA4:AA35)</f>
        <v>439682.99</v>
      </c>
      <c r="AB36" s="62">
        <f>SUM(AB4:AB35)</f>
        <v>62584.11</v>
      </c>
      <c r="AC36" s="59" t="e">
        <f>SUM(AC4:AC34)</f>
        <v>#REF!</v>
      </c>
      <c r="AD36" s="59">
        <f>SUM(AD4:AD34)</f>
        <v>660125.46</v>
      </c>
      <c r="AE36" s="59"/>
      <c r="AF36" s="59"/>
      <c r="AG36" s="59"/>
      <c r="AH36" s="59"/>
    </row>
    <row r="37" spans="10:18" ht="12.75">
      <c r="J37" t="s">
        <v>184</v>
      </c>
      <c r="L37" t="s">
        <v>184</v>
      </c>
      <c r="O37" s="59"/>
      <c r="Q37" s="65"/>
      <c r="R37" s="3"/>
    </row>
    <row r="38" spans="10:12" ht="12.75">
      <c r="J38" t="s">
        <v>185</v>
      </c>
      <c r="L38" t="s">
        <v>185</v>
      </c>
    </row>
    <row r="39" spans="10:12" ht="12.75">
      <c r="J39" t="s">
        <v>186</v>
      </c>
      <c r="L39" t="s">
        <v>186</v>
      </c>
    </row>
    <row r="40" spans="10:12" ht="12.75">
      <c r="J40" t="s">
        <v>187</v>
      </c>
      <c r="L40" t="s">
        <v>187</v>
      </c>
    </row>
    <row r="41" spans="10:13" ht="12.75">
      <c r="J41" s="76">
        <v>299738.76</v>
      </c>
      <c r="K41" s="6">
        <v>48215.16</v>
      </c>
      <c r="L41">
        <v>236520.115</v>
      </c>
      <c r="M41" s="6">
        <v>39854.56</v>
      </c>
    </row>
    <row r="42" ht="12.75">
      <c r="L42" s="82" t="s">
        <v>188</v>
      </c>
    </row>
    <row r="43" ht="12.75">
      <c r="L43" s="82" t="s">
        <v>189</v>
      </c>
    </row>
    <row r="48" spans="19:20" ht="12.75">
      <c r="S48" s="66"/>
      <c r="T48" s="3"/>
    </row>
    <row r="116" spans="4:5" ht="12.75">
      <c r="D116">
        <f>SUM(D36)</f>
        <v>561575.25</v>
      </c>
      <c r="E116" s="3">
        <f>SUM(E36)</f>
        <v>73692.03000000001</v>
      </c>
    </row>
    <row r="65534" spans="19:22" ht="12.75">
      <c r="S65534" s="66"/>
      <c r="T65534" s="3"/>
      <c r="V65534" s="3"/>
    </row>
    <row r="65536" ht="12.75">
      <c r="Q65536">
        <f>SUM(Q40)</f>
        <v>0</v>
      </c>
    </row>
  </sheetData>
  <sheetProtection/>
  <mergeCells count="12">
    <mergeCell ref="Q1:R1"/>
    <mergeCell ref="S1:T1"/>
    <mergeCell ref="U1:V1"/>
    <mergeCell ref="W1:X1"/>
    <mergeCell ref="Y1:Z1"/>
    <mergeCell ref="AA1:AB1"/>
    <mergeCell ref="D1:E1"/>
    <mergeCell ref="F1:G1"/>
    <mergeCell ref="H1:I1"/>
    <mergeCell ref="J1:K1"/>
    <mergeCell ref="L1:M1"/>
    <mergeCell ref="O1:P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H63815"/>
  <sheetViews>
    <sheetView zoomScalePageLayoutView="0" workbookViewId="0" topLeftCell="S14">
      <selection activeCell="S14" sqref="A1:IV16384"/>
    </sheetView>
  </sheetViews>
  <sheetFormatPr defaultColWidth="9.140625" defaultRowHeight="12.75"/>
  <cols>
    <col min="1" max="1" width="20.00390625" style="6" customWidth="1"/>
    <col min="2" max="2" width="20.00390625" style="50" customWidth="1"/>
    <col min="3" max="3" width="26.421875" style="38" customWidth="1"/>
    <col min="4" max="4" width="11.421875" style="0" customWidth="1"/>
    <col min="5" max="5" width="9.7109375" style="3" customWidth="1"/>
    <col min="6" max="6" width="9.7109375" style="0" customWidth="1"/>
    <col min="7" max="7" width="9.57421875" style="6" customWidth="1"/>
    <col min="8" max="8" width="11.00390625" style="0" customWidth="1"/>
    <col min="9" max="9" width="9.421875" style="6" customWidth="1"/>
    <col min="10" max="10" width="10.8515625" style="0" customWidth="1"/>
    <col min="11" max="11" width="9.140625" style="6" customWidth="1"/>
    <col min="12" max="12" width="11.140625" style="0" customWidth="1"/>
    <col min="13" max="13" width="10.140625" style="6" bestFit="1" customWidth="1"/>
    <col min="14" max="14" width="0" style="38" hidden="1" customWidth="1"/>
    <col min="15" max="15" width="10.00390625" style="0" customWidth="1"/>
    <col min="16" max="16" width="9.140625" style="6" customWidth="1"/>
    <col min="17" max="17" width="10.421875" style="0" customWidth="1"/>
    <col min="18" max="18" width="10.7109375" style="6" customWidth="1"/>
    <col min="19" max="19" width="11.28125" style="0" customWidth="1"/>
    <col min="20" max="20" width="10.8515625" style="6" customWidth="1"/>
    <col min="21" max="21" width="11.140625" style="0" customWidth="1"/>
    <col min="22" max="22" width="10.00390625" style="6" customWidth="1"/>
    <col min="23" max="23" width="12.00390625" style="0" customWidth="1"/>
    <col min="24" max="24" width="11.00390625" style="6" customWidth="1"/>
    <col min="25" max="25" width="11.8515625" style="0" customWidth="1"/>
    <col min="26" max="26" width="10.421875" style="6" customWidth="1"/>
    <col min="27" max="27" width="10.8515625" style="0" customWidth="1"/>
    <col min="28" max="28" width="9.7109375" style="6" customWidth="1"/>
    <col min="30" max="30" width="12.00390625" style="0" customWidth="1"/>
  </cols>
  <sheetData>
    <row r="1" spans="1:29" s="12" customFormat="1" ht="12.75">
      <c r="A1" s="11"/>
      <c r="B1" s="47"/>
      <c r="D1" s="221" t="s">
        <v>190</v>
      </c>
      <c r="E1" s="218"/>
      <c r="F1" s="217" t="s">
        <v>191</v>
      </c>
      <c r="G1" s="218"/>
      <c r="H1" s="217" t="s">
        <v>192</v>
      </c>
      <c r="I1" s="218"/>
      <c r="J1" s="219" t="s">
        <v>193</v>
      </c>
      <c r="K1" s="224"/>
      <c r="L1" s="219" t="s">
        <v>194</v>
      </c>
      <c r="M1" s="224"/>
      <c r="O1" s="219" t="s">
        <v>195</v>
      </c>
      <c r="P1" s="224"/>
      <c r="Q1" s="219" t="s">
        <v>196</v>
      </c>
      <c r="R1" s="224"/>
      <c r="S1" s="219" t="s">
        <v>197</v>
      </c>
      <c r="T1" s="224"/>
      <c r="U1" s="219" t="s">
        <v>198</v>
      </c>
      <c r="V1" s="224"/>
      <c r="W1" s="219" t="s">
        <v>199</v>
      </c>
      <c r="X1" s="224"/>
      <c r="Y1" s="219" t="s">
        <v>200</v>
      </c>
      <c r="Z1" s="224"/>
      <c r="AA1" s="219" t="s">
        <v>201</v>
      </c>
      <c r="AB1" s="224"/>
      <c r="AC1" s="12" t="s">
        <v>37</v>
      </c>
    </row>
    <row r="2" spans="1:30" s="15" customFormat="1" ht="12.75">
      <c r="A2" s="14" t="s">
        <v>0</v>
      </c>
      <c r="B2" s="48"/>
      <c r="C2" s="15" t="s">
        <v>87</v>
      </c>
      <c r="D2" s="15" t="s">
        <v>35</v>
      </c>
      <c r="E2" s="16" t="s">
        <v>36</v>
      </c>
      <c r="F2" s="15" t="s">
        <v>35</v>
      </c>
      <c r="G2" s="14" t="s">
        <v>36</v>
      </c>
      <c r="H2" s="15" t="s">
        <v>35</v>
      </c>
      <c r="I2" s="16" t="s">
        <v>36</v>
      </c>
      <c r="J2" s="15" t="s">
        <v>35</v>
      </c>
      <c r="K2" s="15" t="s">
        <v>36</v>
      </c>
      <c r="L2" s="15" t="s">
        <v>35</v>
      </c>
      <c r="M2" s="16" t="s">
        <v>36</v>
      </c>
      <c r="O2" s="15" t="s">
        <v>35</v>
      </c>
      <c r="P2" s="16" t="s">
        <v>36</v>
      </c>
      <c r="Q2" s="15" t="s">
        <v>35</v>
      </c>
      <c r="R2" s="16" t="s">
        <v>36</v>
      </c>
      <c r="S2" s="15" t="s">
        <v>35</v>
      </c>
      <c r="T2" s="16" t="s">
        <v>36</v>
      </c>
      <c r="U2" s="15" t="s">
        <v>35</v>
      </c>
      <c r="V2" s="16" t="s">
        <v>36</v>
      </c>
      <c r="W2" s="15" t="s">
        <v>35</v>
      </c>
      <c r="X2" s="16" t="s">
        <v>36</v>
      </c>
      <c r="Y2" s="30" t="s">
        <v>35</v>
      </c>
      <c r="Z2" s="16" t="s">
        <v>36</v>
      </c>
      <c r="AA2" s="15" t="s">
        <v>35</v>
      </c>
      <c r="AB2" s="16" t="s">
        <v>36</v>
      </c>
      <c r="AC2" s="15" t="s">
        <v>35</v>
      </c>
      <c r="AD2" s="15" t="s">
        <v>36</v>
      </c>
    </row>
    <row r="3" spans="1:28" s="24" customFormat="1" ht="12.75">
      <c r="A3" s="5"/>
      <c r="B3" s="49"/>
      <c r="E3" s="25"/>
      <c r="G3" s="52"/>
      <c r="H3" s="68"/>
      <c r="I3" s="25"/>
      <c r="J3" s="16"/>
      <c r="K3" s="25"/>
      <c r="M3" s="25"/>
      <c r="N3" s="40"/>
      <c r="P3" s="25"/>
      <c r="R3" s="25"/>
      <c r="S3" s="45"/>
      <c r="T3" s="25"/>
      <c r="V3" s="25"/>
      <c r="X3" s="25"/>
      <c r="Z3" s="25"/>
      <c r="AB3" s="25"/>
    </row>
    <row r="4" spans="1:30" ht="12.75">
      <c r="A4" s="6" t="s">
        <v>1</v>
      </c>
      <c r="B4" s="51" t="s">
        <v>115</v>
      </c>
      <c r="C4" s="41" t="s">
        <v>88</v>
      </c>
      <c r="D4">
        <v>54</v>
      </c>
      <c r="E4" s="3">
        <v>17.71</v>
      </c>
      <c r="F4">
        <v>66</v>
      </c>
      <c r="G4" s="53">
        <v>22.4</v>
      </c>
      <c r="H4" s="17">
        <v>38</v>
      </c>
      <c r="I4" s="3">
        <v>18.47</v>
      </c>
      <c r="J4" s="17">
        <v>6</v>
      </c>
      <c r="K4" s="6">
        <v>13.23</v>
      </c>
      <c r="L4" s="17">
        <v>239</v>
      </c>
      <c r="M4" s="6">
        <v>45.36</v>
      </c>
      <c r="N4" s="30"/>
      <c r="O4" s="17">
        <v>46</v>
      </c>
      <c r="P4" s="6">
        <v>19.53</v>
      </c>
      <c r="Q4" s="17">
        <v>41</v>
      </c>
      <c r="R4" s="6">
        <v>19</v>
      </c>
      <c r="S4" s="17">
        <v>36</v>
      </c>
      <c r="T4" s="6">
        <v>18.37</v>
      </c>
      <c r="U4" s="17">
        <v>51</v>
      </c>
      <c r="V4" s="6">
        <v>20.38</v>
      </c>
      <c r="W4" s="17">
        <v>83</v>
      </c>
      <c r="X4" s="6">
        <v>22.34</v>
      </c>
      <c r="Y4" s="17">
        <v>196</v>
      </c>
      <c r="Z4" s="6">
        <v>34.52</v>
      </c>
      <c r="AA4" s="17">
        <v>132</v>
      </c>
      <c r="AB4" s="6">
        <v>27.67</v>
      </c>
      <c r="AC4" t="e">
        <f>D4+F4+H4+J4+#REF!+O4+Q4+S4+U4+W4+Y4+AA4</f>
        <v>#REF!</v>
      </c>
      <c r="AD4">
        <f>E4+G4+I4+K4+M4+P4+R4+T4+V4+X4+Z4+AB4</f>
        <v>278.98</v>
      </c>
    </row>
    <row r="5" spans="1:30" ht="12.75">
      <c r="A5" s="6" t="s">
        <v>1</v>
      </c>
      <c r="B5" s="51" t="s">
        <v>116</v>
      </c>
      <c r="C5" s="41" t="s">
        <v>88</v>
      </c>
      <c r="D5">
        <v>748</v>
      </c>
      <c r="E5" s="3">
        <v>116.7</v>
      </c>
      <c r="F5">
        <v>748</v>
      </c>
      <c r="G5" s="54">
        <v>120.31</v>
      </c>
      <c r="H5" s="17">
        <v>748</v>
      </c>
      <c r="I5" s="3">
        <v>119.63</v>
      </c>
      <c r="J5" s="17">
        <v>748</v>
      </c>
      <c r="K5" s="6">
        <v>119.01</v>
      </c>
      <c r="L5" s="17">
        <v>748</v>
      </c>
      <c r="M5" s="6">
        <v>118.89</v>
      </c>
      <c r="O5" s="17">
        <v>748</v>
      </c>
      <c r="P5" s="6">
        <v>119.1</v>
      </c>
      <c r="Q5" s="17">
        <v>748</v>
      </c>
      <c r="R5" s="6">
        <v>119.96</v>
      </c>
      <c r="S5" s="17">
        <v>748</v>
      </c>
      <c r="T5" s="6">
        <v>120.51</v>
      </c>
      <c r="U5" s="17">
        <v>748</v>
      </c>
      <c r="V5" s="6">
        <v>119.85</v>
      </c>
      <c r="W5" s="17">
        <v>748</v>
      </c>
      <c r="X5" s="6">
        <v>97.38</v>
      </c>
      <c r="Y5" s="17">
        <v>748</v>
      </c>
      <c r="Z5" s="6">
        <v>97.4</v>
      </c>
      <c r="AA5" s="17">
        <v>748</v>
      </c>
      <c r="AB5" s="6">
        <v>97.48</v>
      </c>
      <c r="AC5" t="e">
        <f>D5+F5+H5+J5+#REF!+O5+Q5+S5+U5+W5+Y5+AA5</f>
        <v>#REF!</v>
      </c>
      <c r="AD5">
        <f aca="true" t="shared" si="0" ref="AD5:AD37">E5+G5+I5+K5+M5+P5+R5+T5+V5+X5+Z5+AB5</f>
        <v>1366.2200000000003</v>
      </c>
    </row>
    <row r="6" spans="1:30" ht="12.75">
      <c r="A6" s="6" t="s">
        <v>1</v>
      </c>
      <c r="B6" s="51" t="s">
        <v>117</v>
      </c>
      <c r="C6" s="27" t="s">
        <v>88</v>
      </c>
      <c r="D6">
        <v>50</v>
      </c>
      <c r="E6" s="3">
        <v>12.65</v>
      </c>
      <c r="F6">
        <v>50</v>
      </c>
      <c r="G6" s="54">
        <v>12.89</v>
      </c>
      <c r="H6" s="17">
        <v>50</v>
      </c>
      <c r="I6" s="3">
        <v>12.84</v>
      </c>
      <c r="J6">
        <v>50</v>
      </c>
      <c r="K6" s="6">
        <v>12.8</v>
      </c>
      <c r="L6" s="17">
        <v>50</v>
      </c>
      <c r="M6" s="6">
        <v>12.79</v>
      </c>
      <c r="O6" s="17">
        <v>50</v>
      </c>
      <c r="P6" s="6">
        <v>12.8</v>
      </c>
      <c r="Q6" s="17">
        <v>50</v>
      </c>
      <c r="R6" s="6">
        <v>12.86</v>
      </c>
      <c r="S6" s="17">
        <v>50</v>
      </c>
      <c r="T6" s="6">
        <v>12.9</v>
      </c>
      <c r="U6" s="17">
        <v>50</v>
      </c>
      <c r="V6" s="6">
        <v>12.86</v>
      </c>
      <c r="W6" s="17">
        <v>50</v>
      </c>
      <c r="X6" s="6">
        <v>11.35</v>
      </c>
      <c r="Y6" s="17">
        <v>50</v>
      </c>
      <c r="Z6" s="6">
        <v>11.35</v>
      </c>
      <c r="AA6" s="17">
        <v>50</v>
      </c>
      <c r="AB6" s="6">
        <v>11.36</v>
      </c>
      <c r="AC6" t="e">
        <f>D6+F6+H6+L4+#REF!+O6+Q6+S6+U6+W6+Y6+AA6</f>
        <v>#REF!</v>
      </c>
      <c r="AD6">
        <f t="shared" si="0"/>
        <v>149.45</v>
      </c>
    </row>
    <row r="7" spans="1:30" ht="12.75">
      <c r="A7" s="6" t="s">
        <v>1</v>
      </c>
      <c r="B7" s="51" t="s">
        <v>118</v>
      </c>
      <c r="C7" s="27" t="s">
        <v>89</v>
      </c>
      <c r="D7">
        <v>14480</v>
      </c>
      <c r="E7" s="3">
        <v>2615.25</v>
      </c>
      <c r="F7">
        <v>14240</v>
      </c>
      <c r="G7" s="54">
        <v>2629.84</v>
      </c>
      <c r="H7" s="17">
        <v>12000</v>
      </c>
      <c r="I7" s="3">
        <v>2078.42</v>
      </c>
      <c r="J7" s="86">
        <v>9920</v>
      </c>
      <c r="K7" s="87">
        <v>2209.72</v>
      </c>
      <c r="L7" s="27">
        <v>12640</v>
      </c>
      <c r="M7" s="6">
        <v>2454.41</v>
      </c>
      <c r="O7" s="17">
        <v>13280</v>
      </c>
      <c r="P7" s="6">
        <v>2516.45</v>
      </c>
      <c r="Q7" s="17">
        <v>13040</v>
      </c>
      <c r="R7" s="6">
        <v>2483.92</v>
      </c>
      <c r="S7" s="17">
        <v>8320</v>
      </c>
      <c r="T7" s="6">
        <v>2052.92</v>
      </c>
      <c r="U7" s="17">
        <v>7600</v>
      </c>
      <c r="V7" s="6">
        <v>1711.32</v>
      </c>
      <c r="W7" s="17">
        <v>9360</v>
      </c>
      <c r="X7" s="6">
        <v>1869.56</v>
      </c>
      <c r="Y7" s="17">
        <v>4160</v>
      </c>
      <c r="Z7" s="6">
        <v>1534.45</v>
      </c>
      <c r="AA7" s="17">
        <v>4480</v>
      </c>
      <c r="AB7" s="6">
        <v>1558.46</v>
      </c>
      <c r="AC7" t="e">
        <f>D7+F7+H7+L5+#REF!+O7+Q7+S7+U7+W7+Y7+AA7</f>
        <v>#REF!</v>
      </c>
      <c r="AD7">
        <f t="shared" si="0"/>
        <v>25714.72</v>
      </c>
    </row>
    <row r="8" spans="1:30" ht="12.75">
      <c r="A8" s="6" t="s">
        <v>2</v>
      </c>
      <c r="B8" s="51" t="s">
        <v>119</v>
      </c>
      <c r="C8" s="27" t="s">
        <v>90</v>
      </c>
      <c r="D8" s="7">
        <v>146080</v>
      </c>
      <c r="E8" s="3">
        <v>18061.39</v>
      </c>
      <c r="F8">
        <v>97920</v>
      </c>
      <c r="G8" s="54">
        <v>12995.08</v>
      </c>
      <c r="H8" s="17">
        <v>74720</v>
      </c>
      <c r="I8" s="3">
        <v>10414.3</v>
      </c>
      <c r="J8">
        <v>68480</v>
      </c>
      <c r="K8" s="6">
        <v>9690.08</v>
      </c>
      <c r="L8" s="28">
        <v>56480</v>
      </c>
      <c r="M8" s="6">
        <v>8365.38</v>
      </c>
      <c r="O8" s="17">
        <v>66720</v>
      </c>
      <c r="P8" s="6">
        <v>9406.85</v>
      </c>
      <c r="Q8" s="17">
        <v>69440</v>
      </c>
      <c r="R8" s="6">
        <v>9791.72</v>
      </c>
      <c r="S8" s="69">
        <v>71840</v>
      </c>
      <c r="T8" s="6">
        <v>10178.14</v>
      </c>
      <c r="U8" s="17">
        <v>88640</v>
      </c>
      <c r="V8" s="57">
        <v>11780.5</v>
      </c>
      <c r="W8" s="17">
        <v>94720</v>
      </c>
      <c r="X8" s="6">
        <v>9656.56</v>
      </c>
      <c r="Y8" s="17">
        <v>87040</v>
      </c>
      <c r="Z8" s="6">
        <v>8807.03</v>
      </c>
      <c r="AA8" s="17">
        <v>111360</v>
      </c>
      <c r="AB8" s="6">
        <v>11258.39</v>
      </c>
      <c r="AC8" t="e">
        <f>D8+F8+H8+L6+#REF!+O8+Q8+S8+U8+W8+Y8+AA8</f>
        <v>#REF!</v>
      </c>
      <c r="AD8">
        <f t="shared" si="0"/>
        <v>130405.42</v>
      </c>
    </row>
    <row r="9" spans="1:30" ht="12.75">
      <c r="A9" s="6" t="s">
        <v>2</v>
      </c>
      <c r="B9" s="51" t="s">
        <v>120</v>
      </c>
      <c r="C9" s="27" t="s">
        <v>91</v>
      </c>
      <c r="D9">
        <v>71</v>
      </c>
      <c r="E9" s="3">
        <v>14.76</v>
      </c>
      <c r="F9">
        <v>71</v>
      </c>
      <c r="G9" s="54">
        <v>15.11</v>
      </c>
      <c r="H9" s="17">
        <v>71</v>
      </c>
      <c r="I9" s="3">
        <v>15.03</v>
      </c>
      <c r="J9">
        <v>71</v>
      </c>
      <c r="K9" s="6">
        <v>14.98</v>
      </c>
      <c r="L9" s="28">
        <v>71</v>
      </c>
      <c r="M9" s="6">
        <v>14.98</v>
      </c>
      <c r="O9" s="17">
        <v>71</v>
      </c>
      <c r="P9" s="6">
        <v>15</v>
      </c>
      <c r="Q9" s="17">
        <v>71</v>
      </c>
      <c r="R9" s="6">
        <v>15.06</v>
      </c>
      <c r="S9" s="70">
        <v>71</v>
      </c>
      <c r="T9" s="6">
        <v>15.12</v>
      </c>
      <c r="U9" s="17">
        <v>71</v>
      </c>
      <c r="V9" s="6">
        <v>15.06</v>
      </c>
      <c r="W9" s="17">
        <v>71</v>
      </c>
      <c r="X9" s="6">
        <v>12.93</v>
      </c>
      <c r="Y9" s="17">
        <v>71</v>
      </c>
      <c r="Z9" s="6">
        <v>12.93</v>
      </c>
      <c r="AA9" s="17">
        <v>71</v>
      </c>
      <c r="AB9" s="6">
        <v>12.94</v>
      </c>
      <c r="AC9" t="e">
        <f>D9+F9+H9+L7+#REF!+O9+Q9+S9+U9+W9+Y9+AA9</f>
        <v>#REF!</v>
      </c>
      <c r="AD9">
        <f t="shared" si="0"/>
        <v>173.9</v>
      </c>
    </row>
    <row r="10" spans="1:30" ht="12.75">
      <c r="A10" s="6" t="s">
        <v>2</v>
      </c>
      <c r="B10" s="51" t="s">
        <v>121</v>
      </c>
      <c r="C10" s="27" t="s">
        <v>91</v>
      </c>
      <c r="D10">
        <v>160</v>
      </c>
      <c r="E10" s="3">
        <v>28.06</v>
      </c>
      <c r="F10">
        <v>160</v>
      </c>
      <c r="G10" s="54">
        <v>28.83</v>
      </c>
      <c r="H10" s="17">
        <v>160</v>
      </c>
      <c r="I10" s="3">
        <v>28.69</v>
      </c>
      <c r="J10">
        <v>160</v>
      </c>
      <c r="K10" s="6">
        <v>28.56</v>
      </c>
      <c r="L10" s="28">
        <v>160</v>
      </c>
      <c r="M10" s="26">
        <v>28.53</v>
      </c>
      <c r="N10" s="41"/>
      <c r="O10" s="27">
        <v>160</v>
      </c>
      <c r="P10" s="6">
        <v>28.58</v>
      </c>
      <c r="Q10" s="17">
        <v>160</v>
      </c>
      <c r="R10" s="6">
        <v>28.77</v>
      </c>
      <c r="S10" s="70">
        <v>160</v>
      </c>
      <c r="T10" s="6">
        <v>28.91</v>
      </c>
      <c r="U10" s="17">
        <v>160</v>
      </c>
      <c r="V10" s="6">
        <v>28.75</v>
      </c>
      <c r="W10" s="17">
        <v>160</v>
      </c>
      <c r="X10" s="6">
        <v>23.94</v>
      </c>
      <c r="Y10" s="17">
        <v>160</v>
      </c>
      <c r="Z10" s="6">
        <v>23.94</v>
      </c>
      <c r="AA10" s="17">
        <v>160</v>
      </c>
      <c r="AB10" s="6">
        <v>23.96</v>
      </c>
      <c r="AC10" t="e">
        <f>D10+F10+H10+L8+#REF!+O10+Q10+S10+U10+W10+Y10+AA10</f>
        <v>#REF!</v>
      </c>
      <c r="AD10">
        <f t="shared" si="0"/>
        <v>329.52</v>
      </c>
    </row>
    <row r="11" spans="1:30" ht="12.75">
      <c r="A11" s="6" t="s">
        <v>2</v>
      </c>
      <c r="B11" s="51" t="s">
        <v>122</v>
      </c>
      <c r="C11" s="27" t="s">
        <v>91</v>
      </c>
      <c r="D11">
        <v>374</v>
      </c>
      <c r="E11" s="3">
        <v>58.34</v>
      </c>
      <c r="F11">
        <v>374</v>
      </c>
      <c r="G11" s="54">
        <v>60.15</v>
      </c>
      <c r="H11" s="17">
        <v>374</v>
      </c>
      <c r="I11" s="3">
        <v>59.81</v>
      </c>
      <c r="J11">
        <v>374</v>
      </c>
      <c r="K11" s="6">
        <v>59.51</v>
      </c>
      <c r="L11" s="28">
        <v>374</v>
      </c>
      <c r="M11" s="6">
        <v>59.43</v>
      </c>
      <c r="O11" s="28">
        <v>374</v>
      </c>
      <c r="P11" s="6">
        <v>59.53</v>
      </c>
      <c r="Q11" s="17">
        <v>374</v>
      </c>
      <c r="R11" s="6">
        <v>59.95</v>
      </c>
      <c r="S11" s="70">
        <v>374</v>
      </c>
      <c r="T11" s="6">
        <v>60.26</v>
      </c>
      <c r="U11" s="17">
        <v>374</v>
      </c>
      <c r="V11" s="6">
        <v>59.91</v>
      </c>
      <c r="W11" s="17">
        <v>374</v>
      </c>
      <c r="X11" s="6">
        <v>48.71</v>
      </c>
      <c r="Y11" s="17">
        <v>374</v>
      </c>
      <c r="Z11" s="6">
        <v>48.7</v>
      </c>
      <c r="AA11" s="17">
        <v>374</v>
      </c>
      <c r="AB11" s="6">
        <v>48.74</v>
      </c>
      <c r="AC11" t="e">
        <f>D11+F11+H11+L9+#REF!+O11+Q11+S11+U11+W11+Y11+AA11</f>
        <v>#REF!</v>
      </c>
      <c r="AD11">
        <f t="shared" si="0"/>
        <v>683.0400000000001</v>
      </c>
    </row>
    <row r="12" spans="1:30" ht="12.75">
      <c r="A12" s="6" t="s">
        <v>3</v>
      </c>
      <c r="B12" s="51" t="s">
        <v>123</v>
      </c>
      <c r="C12" s="27" t="s">
        <v>93</v>
      </c>
      <c r="D12">
        <v>7520</v>
      </c>
      <c r="E12" s="3">
        <v>1054.82</v>
      </c>
      <c r="F12">
        <v>5640</v>
      </c>
      <c r="G12" s="54">
        <v>826.56</v>
      </c>
      <c r="H12" s="17">
        <v>3880</v>
      </c>
      <c r="I12" s="3">
        <v>641.44</v>
      </c>
      <c r="J12">
        <v>3600</v>
      </c>
      <c r="K12" s="6">
        <v>594.02</v>
      </c>
      <c r="L12" s="28">
        <v>3000</v>
      </c>
      <c r="M12" s="6">
        <v>531.99</v>
      </c>
      <c r="O12" s="28">
        <v>3680</v>
      </c>
      <c r="P12" s="6">
        <v>604.74</v>
      </c>
      <c r="Q12" s="17">
        <v>3840</v>
      </c>
      <c r="R12" s="6">
        <v>620.96</v>
      </c>
      <c r="S12" s="70">
        <v>3880</v>
      </c>
      <c r="T12" s="6">
        <v>637.51</v>
      </c>
      <c r="U12" s="17">
        <v>4960</v>
      </c>
      <c r="V12" s="6">
        <v>742.91</v>
      </c>
      <c r="W12" s="17">
        <v>6440</v>
      </c>
      <c r="X12" s="6">
        <v>738.29</v>
      </c>
      <c r="Y12" s="17">
        <v>6600</v>
      </c>
      <c r="Z12" s="6">
        <v>711</v>
      </c>
      <c r="AA12" s="17">
        <v>9080</v>
      </c>
      <c r="AB12" s="6">
        <v>948.8</v>
      </c>
      <c r="AC12" t="e">
        <f>D12+F12+H12+L10+#REF!+O12+Q12+S12+U12+W12+Y12+AA12</f>
        <v>#REF!</v>
      </c>
      <c r="AD12">
        <f t="shared" si="0"/>
        <v>8653.039999999999</v>
      </c>
    </row>
    <row r="13" spans="1:30" ht="12.75">
      <c r="A13" s="6" t="s">
        <v>76</v>
      </c>
      <c r="B13" s="51" t="s">
        <v>124</v>
      </c>
      <c r="C13" s="27" t="s">
        <v>202</v>
      </c>
      <c r="D13">
        <v>27920</v>
      </c>
      <c r="E13" s="3">
        <v>3217.26</v>
      </c>
      <c r="F13">
        <v>22640</v>
      </c>
      <c r="G13" s="54">
        <v>2949.6</v>
      </c>
      <c r="H13" s="17">
        <v>22400</v>
      </c>
      <c r="I13" s="3">
        <v>2769.02</v>
      </c>
      <c r="J13">
        <v>23600</v>
      </c>
      <c r="K13" s="6">
        <v>2860.23</v>
      </c>
      <c r="L13" s="28">
        <v>22400</v>
      </c>
      <c r="M13" s="6">
        <v>2758.65</v>
      </c>
      <c r="O13" s="28">
        <v>23280</v>
      </c>
      <c r="P13" s="6">
        <v>2836.13</v>
      </c>
      <c r="Q13" s="17">
        <v>23680</v>
      </c>
      <c r="R13" s="6">
        <v>2886.56</v>
      </c>
      <c r="S13" s="70">
        <v>22240</v>
      </c>
      <c r="T13" s="6">
        <v>2769.18</v>
      </c>
      <c r="U13" s="17">
        <v>24320</v>
      </c>
      <c r="V13" s="6">
        <v>2962.29</v>
      </c>
      <c r="W13" s="17">
        <v>29840</v>
      </c>
      <c r="X13" s="6">
        <v>2643.59</v>
      </c>
      <c r="Y13" s="17">
        <v>26960</v>
      </c>
      <c r="Z13" s="6">
        <v>2403.36</v>
      </c>
      <c r="AA13" s="17">
        <v>31680</v>
      </c>
      <c r="AB13" s="6">
        <v>2723.57</v>
      </c>
      <c r="AC13" t="e">
        <f>D13+F13+H13+L11+#REF!+O13+Q13+S13+U13+W13+Y13+AA13</f>
        <v>#REF!</v>
      </c>
      <c r="AD13">
        <f t="shared" si="0"/>
        <v>33779.44</v>
      </c>
    </row>
    <row r="14" spans="1:30" ht="12.75">
      <c r="A14" s="6" t="s">
        <v>34</v>
      </c>
      <c r="B14" s="51" t="s">
        <v>125</v>
      </c>
      <c r="C14" s="27" t="s">
        <v>94</v>
      </c>
      <c r="D14">
        <v>73440</v>
      </c>
      <c r="E14" s="3">
        <v>9409.8</v>
      </c>
      <c r="F14">
        <v>51360</v>
      </c>
      <c r="G14" s="54">
        <v>7269.74</v>
      </c>
      <c r="H14" s="17">
        <v>38160</v>
      </c>
      <c r="I14" s="3">
        <v>5606.34</v>
      </c>
      <c r="J14">
        <v>35040</v>
      </c>
      <c r="K14" s="6">
        <v>5367.99</v>
      </c>
      <c r="L14" s="28">
        <v>30960</v>
      </c>
      <c r="M14" s="6">
        <v>4967.09</v>
      </c>
      <c r="O14" s="28">
        <v>38160</v>
      </c>
      <c r="P14" s="6">
        <v>5625.33</v>
      </c>
      <c r="Q14" s="17">
        <v>36720</v>
      </c>
      <c r="R14" s="6">
        <v>5593.71</v>
      </c>
      <c r="S14" s="70">
        <v>34560</v>
      </c>
      <c r="T14" s="6">
        <v>5260.75</v>
      </c>
      <c r="U14" s="17">
        <v>44160</v>
      </c>
      <c r="V14" s="6">
        <v>6221.3</v>
      </c>
      <c r="W14" s="17">
        <v>43200</v>
      </c>
      <c r="X14" s="6">
        <v>4984.68</v>
      </c>
      <c r="Y14" s="17">
        <v>26880</v>
      </c>
      <c r="Z14" s="6">
        <v>3524.86</v>
      </c>
      <c r="AA14" s="17">
        <v>42240</v>
      </c>
      <c r="AB14" s="6">
        <v>4647.24</v>
      </c>
      <c r="AC14" t="e">
        <f>D14+F14+H14+L12+#REF!+O14+Q14+S14+U14+W14+Y14+AA14</f>
        <v>#REF!</v>
      </c>
      <c r="AD14">
        <f t="shared" si="0"/>
        <v>68478.83</v>
      </c>
    </row>
    <row r="15" spans="1:30" ht="12.75">
      <c r="A15" s="6" t="s">
        <v>4</v>
      </c>
      <c r="B15" s="51" t="s">
        <v>126</v>
      </c>
      <c r="C15" s="27" t="s">
        <v>95</v>
      </c>
      <c r="D15">
        <v>3904</v>
      </c>
      <c r="E15" s="3">
        <v>480.82</v>
      </c>
      <c r="F15">
        <v>1847</v>
      </c>
      <c r="G15" s="54">
        <v>296.46</v>
      </c>
      <c r="H15" s="17">
        <v>361</v>
      </c>
      <c r="I15" s="3">
        <v>139.87</v>
      </c>
      <c r="J15">
        <v>349</v>
      </c>
      <c r="K15" s="6">
        <v>139.59</v>
      </c>
      <c r="L15" s="27">
        <v>546</v>
      </c>
      <c r="M15" s="26">
        <v>105.74</v>
      </c>
      <c r="O15" s="28">
        <v>468</v>
      </c>
      <c r="P15" s="6">
        <v>91.31</v>
      </c>
      <c r="Q15" s="17">
        <v>266</v>
      </c>
      <c r="R15" s="6">
        <v>73.98</v>
      </c>
      <c r="S15" s="70">
        <v>100</v>
      </c>
      <c r="T15" s="6">
        <v>50.7</v>
      </c>
      <c r="U15" s="17">
        <v>582</v>
      </c>
      <c r="V15" s="6">
        <v>160.42</v>
      </c>
      <c r="W15" s="17">
        <v>1671</v>
      </c>
      <c r="X15" s="6">
        <v>221.41</v>
      </c>
      <c r="Y15" s="17">
        <v>1427</v>
      </c>
      <c r="Z15" s="6">
        <v>204.89</v>
      </c>
      <c r="AA15" s="17">
        <v>26</v>
      </c>
      <c r="AB15" s="6">
        <v>34.6</v>
      </c>
      <c r="AC15" t="e">
        <f>D15+F15+H15+L13+#REF!+O15+Q15+S15+U15+W15+Y15+AA15</f>
        <v>#REF!</v>
      </c>
      <c r="AD15">
        <f t="shared" si="0"/>
        <v>1999.79</v>
      </c>
    </row>
    <row r="16" spans="1:30" ht="12.75">
      <c r="A16" s="6" t="s">
        <v>5</v>
      </c>
      <c r="B16" s="51" t="s">
        <v>127</v>
      </c>
      <c r="C16" s="27" t="s">
        <v>96</v>
      </c>
      <c r="D16">
        <v>72800</v>
      </c>
      <c r="E16" s="3">
        <v>9545.48</v>
      </c>
      <c r="F16">
        <v>51000</v>
      </c>
      <c r="G16" s="54">
        <v>6982.59</v>
      </c>
      <c r="H16" s="17">
        <v>36600</v>
      </c>
      <c r="I16" s="3">
        <v>5532.37</v>
      </c>
      <c r="J16">
        <v>38000</v>
      </c>
      <c r="K16" s="6">
        <v>5730.84</v>
      </c>
      <c r="L16" s="27">
        <v>34200</v>
      </c>
      <c r="M16" s="26">
        <v>5351.86</v>
      </c>
      <c r="O16" s="28">
        <v>43800</v>
      </c>
      <c r="P16" s="6">
        <v>6260.46</v>
      </c>
      <c r="Q16" s="17">
        <v>32800</v>
      </c>
      <c r="R16" s="6">
        <v>5288.87</v>
      </c>
      <c r="S16" s="70">
        <v>37800</v>
      </c>
      <c r="T16" s="6">
        <v>5608.21</v>
      </c>
      <c r="U16" s="17">
        <v>43400</v>
      </c>
      <c r="V16" s="6">
        <v>6194.73</v>
      </c>
      <c r="W16" s="17">
        <v>38200</v>
      </c>
      <c r="X16" s="6">
        <v>4648.39</v>
      </c>
      <c r="Y16" s="17">
        <v>39800</v>
      </c>
      <c r="Z16" s="6">
        <v>4478.41</v>
      </c>
      <c r="AA16" s="17">
        <v>50400</v>
      </c>
      <c r="AB16" s="6">
        <v>5558.42</v>
      </c>
      <c r="AC16" t="e">
        <f>D16+F16+H16+L14+#REF!+O16+Q16+S16+U16+W16+Y16+AA16</f>
        <v>#REF!</v>
      </c>
      <c r="AD16">
        <f t="shared" si="0"/>
        <v>71180.63</v>
      </c>
    </row>
    <row r="17" spans="1:30" ht="12.75">
      <c r="A17" s="26" t="s">
        <v>50</v>
      </c>
      <c r="B17" s="51" t="s">
        <v>128</v>
      </c>
      <c r="C17" s="27" t="s">
        <v>97</v>
      </c>
      <c r="D17">
        <v>640</v>
      </c>
      <c r="E17" s="3">
        <v>112.3</v>
      </c>
      <c r="F17">
        <v>640</v>
      </c>
      <c r="G17" s="55">
        <v>115.42</v>
      </c>
      <c r="H17" s="17">
        <v>640</v>
      </c>
      <c r="I17" s="3">
        <v>114.81</v>
      </c>
      <c r="J17">
        <v>640</v>
      </c>
      <c r="K17" s="57">
        <v>114.32</v>
      </c>
      <c r="L17" s="27">
        <v>640</v>
      </c>
      <c r="M17" s="26">
        <v>114.17</v>
      </c>
      <c r="O17" s="28">
        <v>640</v>
      </c>
      <c r="P17" s="6">
        <v>114.41</v>
      </c>
      <c r="Q17" s="17">
        <v>640</v>
      </c>
      <c r="R17" s="6">
        <v>115.15</v>
      </c>
      <c r="S17" s="70">
        <v>640</v>
      </c>
      <c r="T17" s="6">
        <v>115.57</v>
      </c>
      <c r="U17" s="17">
        <v>640</v>
      </c>
      <c r="V17" s="3">
        <v>115.03</v>
      </c>
      <c r="W17" s="17">
        <v>640</v>
      </c>
      <c r="X17" s="3">
        <v>95.8</v>
      </c>
      <c r="Y17" s="17">
        <v>640</v>
      </c>
      <c r="Z17" s="6">
        <v>95.84</v>
      </c>
      <c r="AA17" s="17">
        <v>640</v>
      </c>
      <c r="AB17" s="6">
        <v>95.9</v>
      </c>
      <c r="AC17" t="e">
        <f>D17+F17+H17+L15+#REF!+O17+Q17+S17+U17+W17+Y17+AA17</f>
        <v>#REF!</v>
      </c>
      <c r="AD17">
        <f t="shared" si="0"/>
        <v>1318.7199999999998</v>
      </c>
    </row>
    <row r="18" spans="1:30" ht="12.75">
      <c r="A18" s="6" t="s">
        <v>6</v>
      </c>
      <c r="B18" s="51" t="s">
        <v>129</v>
      </c>
      <c r="C18" s="27" t="s">
        <v>98</v>
      </c>
      <c r="D18">
        <v>29680</v>
      </c>
      <c r="E18" s="3">
        <v>3942.84</v>
      </c>
      <c r="F18">
        <v>18160</v>
      </c>
      <c r="G18" s="54">
        <v>2649.39</v>
      </c>
      <c r="H18" s="17">
        <v>11040</v>
      </c>
      <c r="I18" s="3">
        <v>2040.14</v>
      </c>
      <c r="J18">
        <v>7920</v>
      </c>
      <c r="K18" s="6">
        <v>1565.01</v>
      </c>
      <c r="L18" s="27">
        <v>7680</v>
      </c>
      <c r="M18" s="26">
        <v>1498.6</v>
      </c>
      <c r="O18" s="28">
        <v>9760</v>
      </c>
      <c r="P18" s="6">
        <v>1707.67</v>
      </c>
      <c r="Q18" s="17">
        <v>6240</v>
      </c>
      <c r="R18" s="6">
        <v>1371.81</v>
      </c>
      <c r="S18" s="70">
        <v>9440</v>
      </c>
      <c r="T18" s="6">
        <v>1744.88</v>
      </c>
      <c r="U18" s="17">
        <v>13520</v>
      </c>
      <c r="V18" s="6">
        <v>2153.24</v>
      </c>
      <c r="W18" s="17">
        <v>14720</v>
      </c>
      <c r="X18" s="6">
        <v>1864.96</v>
      </c>
      <c r="Y18" s="17">
        <v>13760</v>
      </c>
      <c r="Z18" s="6">
        <v>1739.16</v>
      </c>
      <c r="AA18" s="17">
        <v>22880</v>
      </c>
      <c r="AB18" s="6">
        <v>2490.48</v>
      </c>
      <c r="AC18" t="e">
        <f>D18+F18+H18+L16+#REF!+O18+Q18+S18+U18+W18+Y18+AA18</f>
        <v>#REF!</v>
      </c>
      <c r="AD18">
        <f t="shared" si="0"/>
        <v>24768.18</v>
      </c>
    </row>
    <row r="19" spans="1:30" ht="12.75">
      <c r="A19" s="6" t="s">
        <v>7</v>
      </c>
      <c r="B19" s="51" t="s">
        <v>130</v>
      </c>
      <c r="C19" s="27" t="s">
        <v>99</v>
      </c>
      <c r="D19">
        <v>270</v>
      </c>
      <c r="E19" s="3">
        <v>72.59</v>
      </c>
      <c r="F19">
        <v>275</v>
      </c>
      <c r="G19" s="54">
        <v>74.59</v>
      </c>
      <c r="H19" s="17">
        <v>304</v>
      </c>
      <c r="I19" s="3">
        <v>77.1</v>
      </c>
      <c r="J19">
        <v>450</v>
      </c>
      <c r="K19" s="6">
        <v>90.53</v>
      </c>
      <c r="L19" s="27">
        <v>262</v>
      </c>
      <c r="M19" s="26">
        <v>73.55</v>
      </c>
      <c r="O19" s="28">
        <v>356</v>
      </c>
      <c r="P19" s="6">
        <v>82.37</v>
      </c>
      <c r="Q19" s="17">
        <v>310</v>
      </c>
      <c r="R19" s="6">
        <v>78.1</v>
      </c>
      <c r="S19" s="70">
        <v>312</v>
      </c>
      <c r="T19" s="6">
        <v>78.54</v>
      </c>
      <c r="U19" s="17">
        <v>328</v>
      </c>
      <c r="V19" s="6">
        <v>79.75</v>
      </c>
      <c r="W19" s="17">
        <v>236</v>
      </c>
      <c r="X19" s="6">
        <v>64.3</v>
      </c>
      <c r="Y19" s="17">
        <v>252</v>
      </c>
      <c r="Z19" s="6">
        <v>65.22</v>
      </c>
      <c r="AA19" s="17">
        <v>275</v>
      </c>
      <c r="AB19" s="6">
        <v>66.83</v>
      </c>
      <c r="AC19" t="e">
        <f>D19+F19+H19+L17+#REF!+O19+Q19+S19+U19+W19+Y19+AA19</f>
        <v>#REF!</v>
      </c>
      <c r="AD19">
        <f t="shared" si="0"/>
        <v>903.47</v>
      </c>
    </row>
    <row r="20" spans="1:30" ht="12.75">
      <c r="A20" s="26" t="s">
        <v>168</v>
      </c>
      <c r="B20" s="51" t="s">
        <v>167</v>
      </c>
      <c r="C20" s="27" t="s">
        <v>166</v>
      </c>
      <c r="D20">
        <v>1950</v>
      </c>
      <c r="E20" s="3">
        <v>242.9</v>
      </c>
      <c r="F20">
        <v>1101</v>
      </c>
      <c r="G20" s="54">
        <v>143.22</v>
      </c>
      <c r="H20" s="17">
        <v>621</v>
      </c>
      <c r="I20" s="3">
        <v>82.88</v>
      </c>
      <c r="J20">
        <v>1184</v>
      </c>
      <c r="K20" s="6">
        <v>148.86</v>
      </c>
      <c r="L20" s="27">
        <v>355</v>
      </c>
      <c r="M20" s="26">
        <v>49.28</v>
      </c>
      <c r="O20" s="28">
        <v>1049</v>
      </c>
      <c r="P20" s="6">
        <v>135.42</v>
      </c>
      <c r="Q20" s="17">
        <v>783</v>
      </c>
      <c r="R20" s="6">
        <v>101.74</v>
      </c>
      <c r="S20" s="70">
        <v>1039</v>
      </c>
      <c r="T20" s="6">
        <v>132.29</v>
      </c>
      <c r="U20" s="17">
        <v>1598</v>
      </c>
      <c r="V20" s="6">
        <v>197.48</v>
      </c>
      <c r="W20" s="17">
        <v>2067</v>
      </c>
      <c r="X20" s="6">
        <v>192.24</v>
      </c>
      <c r="Y20" s="17">
        <v>3493</v>
      </c>
      <c r="Z20" s="6">
        <v>316.35</v>
      </c>
      <c r="AA20" s="17">
        <v>2624</v>
      </c>
      <c r="AB20" s="6">
        <v>241.29</v>
      </c>
      <c r="AC20" t="e">
        <f>D20+F20+H20+L18+#REF!+O20+Q20+S20+U20+W20+Y20+AA20</f>
        <v>#REF!</v>
      </c>
      <c r="AD20">
        <f t="shared" si="0"/>
        <v>1983.9499999999998</v>
      </c>
    </row>
    <row r="21" spans="1:30" ht="12.75">
      <c r="A21" s="6" t="s">
        <v>8</v>
      </c>
      <c r="B21" s="51" t="s">
        <v>131</v>
      </c>
      <c r="C21" s="27" t="s">
        <v>100</v>
      </c>
      <c r="D21">
        <v>1</v>
      </c>
      <c r="E21" s="3">
        <v>13.07</v>
      </c>
      <c r="F21">
        <v>353</v>
      </c>
      <c r="G21" s="54">
        <v>61.57</v>
      </c>
      <c r="H21" s="17">
        <v>280</v>
      </c>
      <c r="I21" s="3">
        <v>51.59</v>
      </c>
      <c r="J21">
        <v>207</v>
      </c>
      <c r="K21" s="6">
        <v>41.64</v>
      </c>
      <c r="L21" s="27">
        <v>192</v>
      </c>
      <c r="M21" s="26">
        <v>39.42</v>
      </c>
      <c r="O21" s="28">
        <v>19</v>
      </c>
      <c r="P21" s="6">
        <v>15.6</v>
      </c>
      <c r="Q21" s="17">
        <v>112</v>
      </c>
      <c r="R21" s="6">
        <v>28.8</v>
      </c>
      <c r="S21" s="70">
        <v>223</v>
      </c>
      <c r="T21" s="6">
        <v>44.24</v>
      </c>
      <c r="U21" s="17">
        <v>213</v>
      </c>
      <c r="V21" s="6">
        <v>42.75</v>
      </c>
      <c r="W21" s="17">
        <v>130</v>
      </c>
      <c r="X21" s="6">
        <v>27.42</v>
      </c>
      <c r="Y21" s="17">
        <v>0</v>
      </c>
      <c r="Z21" s="6">
        <v>13.34</v>
      </c>
      <c r="AA21" s="17">
        <v>1</v>
      </c>
      <c r="AB21" s="6">
        <v>13.44</v>
      </c>
      <c r="AC21" t="e">
        <f>D21+F21+H21+L19+#REF!+O21+Q21+S21+U21+W21+Y21+AA21</f>
        <v>#REF!</v>
      </c>
      <c r="AD21">
        <f t="shared" si="0"/>
        <v>392.88</v>
      </c>
    </row>
    <row r="22" spans="1:30" ht="12.75">
      <c r="A22" s="6" t="s">
        <v>9</v>
      </c>
      <c r="B22" s="51" t="s">
        <v>132</v>
      </c>
      <c r="C22" s="27" t="s">
        <v>101</v>
      </c>
      <c r="D22">
        <v>2903</v>
      </c>
      <c r="E22" s="3">
        <v>385.96</v>
      </c>
      <c r="F22">
        <v>1900</v>
      </c>
      <c r="G22" s="54">
        <v>284.81</v>
      </c>
      <c r="H22" s="17">
        <v>2028</v>
      </c>
      <c r="I22" s="3">
        <v>337.17</v>
      </c>
      <c r="J22">
        <v>2132</v>
      </c>
      <c r="K22" s="6">
        <v>345.38</v>
      </c>
      <c r="L22" s="27">
        <v>3890</v>
      </c>
      <c r="M22" s="26">
        <v>516</v>
      </c>
      <c r="O22" s="28">
        <v>3041</v>
      </c>
      <c r="P22" s="6">
        <v>438.13</v>
      </c>
      <c r="Q22" s="17">
        <v>1767</v>
      </c>
      <c r="R22" s="6">
        <v>319.53</v>
      </c>
      <c r="S22" s="70">
        <v>2025</v>
      </c>
      <c r="T22" s="6">
        <v>296.47</v>
      </c>
      <c r="U22" s="17">
        <v>2330</v>
      </c>
      <c r="V22" s="6">
        <v>330.89</v>
      </c>
      <c r="W22" s="17">
        <v>1465</v>
      </c>
      <c r="X22" s="6">
        <v>232.39</v>
      </c>
      <c r="Y22" s="17">
        <v>1321</v>
      </c>
      <c r="Z22" s="6">
        <v>222.63</v>
      </c>
      <c r="AA22" s="17">
        <v>1800</v>
      </c>
      <c r="AB22" s="6">
        <v>221.34</v>
      </c>
      <c r="AC22" t="e">
        <f>D22+F22+H22+L20+#REF!+O22+Q22+S22+U22+W22+Y22+AA22</f>
        <v>#REF!</v>
      </c>
      <c r="AD22">
        <f t="shared" si="0"/>
        <v>3930.7000000000007</v>
      </c>
    </row>
    <row r="23" spans="1:30" ht="12.75">
      <c r="A23" s="6" t="s">
        <v>10</v>
      </c>
      <c r="B23" s="51" t="s">
        <v>133</v>
      </c>
      <c r="C23" s="27" t="s">
        <v>102</v>
      </c>
      <c r="D23">
        <v>13509</v>
      </c>
      <c r="E23" s="3">
        <v>1529.24</v>
      </c>
      <c r="F23">
        <v>9017</v>
      </c>
      <c r="G23" s="54">
        <v>1098.2</v>
      </c>
      <c r="H23" s="17">
        <v>11446</v>
      </c>
      <c r="I23" s="3">
        <v>1334.01</v>
      </c>
      <c r="J23">
        <v>11269</v>
      </c>
      <c r="K23" s="6">
        <v>1294.19</v>
      </c>
      <c r="L23" s="27">
        <v>7784</v>
      </c>
      <c r="M23" s="26">
        <v>964.85</v>
      </c>
      <c r="O23" s="28">
        <v>8113</v>
      </c>
      <c r="P23" s="6">
        <v>993.93</v>
      </c>
      <c r="Q23" s="17">
        <v>7556</v>
      </c>
      <c r="R23" s="6">
        <v>941.15</v>
      </c>
      <c r="S23" s="70">
        <v>8187</v>
      </c>
      <c r="T23" s="6">
        <v>1006.62</v>
      </c>
      <c r="U23" s="17">
        <v>10205</v>
      </c>
      <c r="V23" s="6">
        <v>1196.38</v>
      </c>
      <c r="W23" s="17">
        <v>13960</v>
      </c>
      <c r="X23" s="6">
        <v>1142.96</v>
      </c>
      <c r="Y23" s="17">
        <v>9311</v>
      </c>
      <c r="Z23" s="6">
        <v>849.01</v>
      </c>
      <c r="AA23" s="17">
        <v>6177</v>
      </c>
      <c r="AB23" s="6">
        <v>655.43</v>
      </c>
      <c r="AC23" t="e">
        <f>D23+F23+H23+L21+#REF!+O23+Q23+S23+U23+W23+Y23+AA23</f>
        <v>#REF!</v>
      </c>
      <c r="AD23">
        <f t="shared" si="0"/>
        <v>13005.97</v>
      </c>
    </row>
    <row r="24" spans="1:30" ht="12.75">
      <c r="A24" s="6" t="s">
        <v>203</v>
      </c>
      <c r="B24" s="50" t="s">
        <v>134</v>
      </c>
      <c r="C24" s="27" t="s">
        <v>204</v>
      </c>
      <c r="D24" s="17"/>
      <c r="F24" s="17"/>
      <c r="G24" s="54"/>
      <c r="H24" s="17">
        <v>0</v>
      </c>
      <c r="I24" s="3">
        <v>56.83</v>
      </c>
      <c r="J24" s="17">
        <v>231</v>
      </c>
      <c r="K24" s="6">
        <v>44.56</v>
      </c>
      <c r="L24" s="89">
        <v>0</v>
      </c>
      <c r="M24" s="26">
        <v>7.27</v>
      </c>
      <c r="O24" s="28">
        <v>0</v>
      </c>
      <c r="P24" s="6">
        <v>9.21</v>
      </c>
      <c r="Q24" s="17">
        <v>120</v>
      </c>
      <c r="R24" s="57">
        <v>18.28</v>
      </c>
      <c r="S24" s="70">
        <v>1480</v>
      </c>
      <c r="T24" s="6">
        <v>160.96</v>
      </c>
      <c r="U24" s="17">
        <v>1640</v>
      </c>
      <c r="V24" s="6">
        <v>177.75</v>
      </c>
      <c r="W24" s="17">
        <v>0</v>
      </c>
      <c r="X24" s="6">
        <v>-0.01</v>
      </c>
      <c r="Y24" s="17">
        <v>2320</v>
      </c>
      <c r="Z24" s="6">
        <v>257.62</v>
      </c>
      <c r="AA24" s="17">
        <v>0</v>
      </c>
      <c r="AB24" s="6">
        <v>7.27</v>
      </c>
      <c r="AD24" s="17"/>
    </row>
    <row r="25" spans="1:30" ht="12.75">
      <c r="A25" s="6" t="s">
        <v>12</v>
      </c>
      <c r="B25" s="51" t="s">
        <v>135</v>
      </c>
      <c r="C25" s="27" t="s">
        <v>104</v>
      </c>
      <c r="D25">
        <v>84433.995</v>
      </c>
      <c r="E25" s="3">
        <v>12090.55</v>
      </c>
      <c r="F25">
        <v>55254.99</v>
      </c>
      <c r="G25" s="54">
        <v>9636.36</v>
      </c>
      <c r="H25" s="17">
        <v>44168.04</v>
      </c>
      <c r="I25" s="3">
        <v>8678.23</v>
      </c>
      <c r="J25">
        <v>60901.515</v>
      </c>
      <c r="K25" s="6">
        <v>11274.87</v>
      </c>
      <c r="L25" s="27">
        <v>60001.575</v>
      </c>
      <c r="M25" s="26">
        <v>10392.29</v>
      </c>
      <c r="O25" s="84">
        <v>67296.03</v>
      </c>
      <c r="P25" s="6">
        <v>10727.91</v>
      </c>
      <c r="Q25" s="17">
        <v>51285.96</v>
      </c>
      <c r="R25" s="6">
        <v>10326.79</v>
      </c>
      <c r="S25" s="70">
        <v>35748.48</v>
      </c>
      <c r="T25" s="6">
        <v>7738.14</v>
      </c>
      <c r="U25" s="17">
        <v>42550.11</v>
      </c>
      <c r="V25" s="6">
        <v>8148.45</v>
      </c>
      <c r="W25" s="17">
        <v>50967.78</v>
      </c>
      <c r="X25" s="6">
        <v>7430.8</v>
      </c>
      <c r="Y25" s="17">
        <v>40275.405</v>
      </c>
      <c r="Z25" s="6">
        <v>6685.1</v>
      </c>
      <c r="AA25" s="17">
        <v>51369.04</v>
      </c>
      <c r="AB25" s="6">
        <v>7402.73</v>
      </c>
      <c r="AC25" t="e">
        <f>D25+F25+H25+L22+#REF!+O26+Q25+S25+U25+W25+Y25+AA25</f>
        <v>#REF!</v>
      </c>
      <c r="AD25">
        <f t="shared" si="0"/>
        <v>110532.22</v>
      </c>
    </row>
    <row r="26" spans="1:30" ht="12.75">
      <c r="A26" s="6" t="s">
        <v>13</v>
      </c>
      <c r="B26" s="51" t="s">
        <v>136</v>
      </c>
      <c r="C26" s="27" t="s">
        <v>105</v>
      </c>
      <c r="D26">
        <v>8613</v>
      </c>
      <c r="E26" s="3">
        <v>1217.87</v>
      </c>
      <c r="F26">
        <v>4262</v>
      </c>
      <c r="G26" s="54">
        <v>815.16</v>
      </c>
      <c r="H26" s="17">
        <v>1973</v>
      </c>
      <c r="I26" s="3">
        <v>645.11</v>
      </c>
      <c r="J26">
        <v>686</v>
      </c>
      <c r="K26" s="6">
        <v>469.71</v>
      </c>
      <c r="L26" s="27">
        <v>75</v>
      </c>
      <c r="M26" s="26">
        <v>407.65</v>
      </c>
      <c r="O26" s="93">
        <v>506</v>
      </c>
      <c r="P26" s="6">
        <v>455.73</v>
      </c>
      <c r="Q26" s="17">
        <v>1760</v>
      </c>
      <c r="R26" s="6">
        <v>612.11</v>
      </c>
      <c r="S26" s="70">
        <v>1643</v>
      </c>
      <c r="T26" s="6">
        <v>601.52</v>
      </c>
      <c r="U26" s="17">
        <v>2427</v>
      </c>
      <c r="V26" s="6">
        <v>674.48</v>
      </c>
      <c r="W26" s="17">
        <v>3237</v>
      </c>
      <c r="X26" s="6">
        <v>611.93</v>
      </c>
      <c r="Y26" s="17">
        <v>2394</v>
      </c>
      <c r="Z26" s="6">
        <v>515.22</v>
      </c>
      <c r="AA26" s="17">
        <v>5580</v>
      </c>
      <c r="AB26" s="6">
        <v>789.72</v>
      </c>
      <c r="AC26" t="e">
        <f>D26+F26+H26+L23+#REF!+O27+Q26+S26+U26+W26+Y26+AA26</f>
        <v>#REF!</v>
      </c>
      <c r="AD26">
        <f t="shared" si="0"/>
        <v>7816.210000000001</v>
      </c>
    </row>
    <row r="27" spans="1:30" ht="12.75">
      <c r="A27" s="6" t="s">
        <v>14</v>
      </c>
      <c r="B27" s="51" t="s">
        <v>137</v>
      </c>
      <c r="C27" s="27" t="s">
        <v>106</v>
      </c>
      <c r="D27">
        <v>54400</v>
      </c>
      <c r="E27" s="3">
        <v>7457.1</v>
      </c>
      <c r="F27">
        <v>36800</v>
      </c>
      <c r="G27" s="54">
        <v>5724.88</v>
      </c>
      <c r="H27" s="17">
        <v>31200</v>
      </c>
      <c r="I27" s="3">
        <v>5094.54</v>
      </c>
      <c r="J27">
        <v>18800</v>
      </c>
      <c r="K27" s="6">
        <v>3802.05</v>
      </c>
      <c r="L27" s="27">
        <v>18000</v>
      </c>
      <c r="M27" s="26">
        <v>3560.21</v>
      </c>
      <c r="O27" s="94">
        <v>9200</v>
      </c>
      <c r="P27" s="6">
        <v>3001.69</v>
      </c>
      <c r="Q27" s="17">
        <v>10000</v>
      </c>
      <c r="R27" s="6">
        <v>2884.08</v>
      </c>
      <c r="S27" s="70">
        <v>20000</v>
      </c>
      <c r="T27" s="6">
        <v>4241.99</v>
      </c>
      <c r="U27" s="17">
        <v>27200</v>
      </c>
      <c r="V27" s="6">
        <v>5230.82</v>
      </c>
      <c r="W27" s="17">
        <v>30800</v>
      </c>
      <c r="X27" s="6">
        <v>4731.19</v>
      </c>
      <c r="Y27" s="17">
        <v>24400</v>
      </c>
      <c r="Z27" s="6">
        <v>3961.64</v>
      </c>
      <c r="AA27" s="17">
        <v>40800</v>
      </c>
      <c r="AB27" s="6">
        <v>5015.93</v>
      </c>
      <c r="AC27" t="e">
        <f>D27+F27+H27+L25+#REF!+O28+Q27+S27+U27+W27+Y27+AA27</f>
        <v>#REF!</v>
      </c>
      <c r="AD27">
        <f t="shared" si="0"/>
        <v>54706.119999999995</v>
      </c>
    </row>
    <row r="28" spans="1:30" ht="12.75">
      <c r="A28" s="6" t="s">
        <v>15</v>
      </c>
      <c r="B28" s="51" t="s">
        <v>138</v>
      </c>
      <c r="C28" s="27" t="s">
        <v>107</v>
      </c>
      <c r="D28">
        <v>3592</v>
      </c>
      <c r="E28" s="3">
        <v>538.44</v>
      </c>
      <c r="F28">
        <v>2111</v>
      </c>
      <c r="G28" s="54">
        <v>329.44</v>
      </c>
      <c r="H28" s="17">
        <v>1915</v>
      </c>
      <c r="I28" s="3">
        <v>327.16</v>
      </c>
      <c r="J28">
        <v>2792</v>
      </c>
      <c r="K28" s="6">
        <v>407.5</v>
      </c>
      <c r="L28" s="27">
        <v>2238</v>
      </c>
      <c r="M28" s="26">
        <v>355.51</v>
      </c>
      <c r="O28" s="28">
        <v>1882</v>
      </c>
      <c r="P28" s="6">
        <v>321.71</v>
      </c>
      <c r="Q28" s="17">
        <v>1141</v>
      </c>
      <c r="R28" s="6">
        <v>253.21</v>
      </c>
      <c r="S28" s="70">
        <v>943</v>
      </c>
      <c r="T28" s="6">
        <v>236.45</v>
      </c>
      <c r="U28" s="17">
        <v>782</v>
      </c>
      <c r="V28" s="3">
        <v>219.52</v>
      </c>
      <c r="W28" s="17">
        <v>628</v>
      </c>
      <c r="X28" s="6">
        <v>186.76</v>
      </c>
      <c r="Y28" s="17">
        <v>3464</v>
      </c>
      <c r="Z28" s="6">
        <v>365.83</v>
      </c>
      <c r="AA28" s="17">
        <v>4781</v>
      </c>
      <c r="AB28" s="6">
        <v>451.21</v>
      </c>
      <c r="AC28" t="e">
        <f>D28+F28+H28+L26+#REF!+O29+Q28+S28+U28+W28+Y28+AA28</f>
        <v>#REF!</v>
      </c>
      <c r="AD28">
        <f t="shared" si="0"/>
        <v>3992.74</v>
      </c>
    </row>
    <row r="29" spans="1:30" ht="12.75">
      <c r="A29" s="6" t="s">
        <v>15</v>
      </c>
      <c r="B29" s="51" t="s">
        <v>139</v>
      </c>
      <c r="C29" s="27" t="s">
        <v>107</v>
      </c>
      <c r="D29">
        <v>50</v>
      </c>
      <c r="E29" s="3">
        <v>12.64</v>
      </c>
      <c r="F29">
        <v>50</v>
      </c>
      <c r="G29" s="54">
        <v>12.89</v>
      </c>
      <c r="H29" s="17">
        <v>50</v>
      </c>
      <c r="I29" s="3">
        <v>12.83</v>
      </c>
      <c r="J29">
        <v>50</v>
      </c>
      <c r="K29" s="6">
        <v>12.79</v>
      </c>
      <c r="L29" s="27">
        <v>50</v>
      </c>
      <c r="M29" s="26">
        <v>12.79</v>
      </c>
      <c r="O29" s="28">
        <v>50</v>
      </c>
      <c r="P29" s="6">
        <v>12.8</v>
      </c>
      <c r="Q29" s="17">
        <v>50</v>
      </c>
      <c r="R29" s="6">
        <v>12.87</v>
      </c>
      <c r="S29" s="70">
        <v>50</v>
      </c>
      <c r="T29" s="6">
        <v>12.9</v>
      </c>
      <c r="U29" s="17">
        <v>50</v>
      </c>
      <c r="V29" s="6">
        <v>12.86</v>
      </c>
      <c r="W29" s="17">
        <v>50</v>
      </c>
      <c r="X29" s="6">
        <v>11.35</v>
      </c>
      <c r="Y29" s="17">
        <v>50</v>
      </c>
      <c r="Z29" s="6">
        <v>11.35</v>
      </c>
      <c r="AA29" s="17">
        <v>50</v>
      </c>
      <c r="AB29" s="6">
        <v>11.36</v>
      </c>
      <c r="AC29" t="e">
        <f>D29+F29+H29+L27+#REF!+O30+Q29+S29+U29+W29+Y29+AA29</f>
        <v>#REF!</v>
      </c>
      <c r="AD29">
        <f t="shared" si="0"/>
        <v>149.43</v>
      </c>
    </row>
    <row r="30" spans="1:30" ht="12.75">
      <c r="A30" s="6" t="s">
        <v>16</v>
      </c>
      <c r="B30" s="51" t="s">
        <v>140</v>
      </c>
      <c r="C30" s="27" t="s">
        <v>108</v>
      </c>
      <c r="D30">
        <v>2629</v>
      </c>
      <c r="E30" s="3">
        <v>345.41</v>
      </c>
      <c r="F30">
        <v>1910</v>
      </c>
      <c r="G30" s="54">
        <v>263.91</v>
      </c>
      <c r="H30" s="17">
        <v>1813</v>
      </c>
      <c r="I30" s="3">
        <v>248.54</v>
      </c>
      <c r="J30">
        <v>2149</v>
      </c>
      <c r="K30" s="6">
        <v>291.38</v>
      </c>
      <c r="L30" s="88">
        <v>852</v>
      </c>
      <c r="M30" s="26">
        <v>117.57</v>
      </c>
      <c r="O30" s="28">
        <v>1337</v>
      </c>
      <c r="P30" s="6">
        <v>183.95</v>
      </c>
      <c r="Q30" s="17">
        <v>4189</v>
      </c>
      <c r="R30" s="6">
        <v>567.71</v>
      </c>
      <c r="S30" s="70">
        <v>2132</v>
      </c>
      <c r="T30" s="6">
        <v>293.64</v>
      </c>
      <c r="U30" s="17">
        <v>1404</v>
      </c>
      <c r="V30" s="6">
        <v>195.08</v>
      </c>
      <c r="W30" s="17">
        <v>1314</v>
      </c>
      <c r="X30" s="6">
        <v>144.13</v>
      </c>
      <c r="Y30" s="17">
        <v>637</v>
      </c>
      <c r="Z30" s="6">
        <v>73.47</v>
      </c>
      <c r="AA30" s="17">
        <v>466</v>
      </c>
      <c r="AB30" s="6">
        <v>55.96</v>
      </c>
      <c r="AC30" t="e">
        <f>D30+F30+H30+L28+#REF!+O31+Q30+S30+U30+W30+Y30+AA30</f>
        <v>#REF!</v>
      </c>
      <c r="AD30">
        <f t="shared" si="0"/>
        <v>2780.75</v>
      </c>
    </row>
    <row r="31" spans="1:30" ht="12.75">
      <c r="A31" s="6" t="s">
        <v>17</v>
      </c>
      <c r="B31" s="51" t="s">
        <v>141</v>
      </c>
      <c r="C31" s="27" t="s">
        <v>109</v>
      </c>
      <c r="D31">
        <v>18120</v>
      </c>
      <c r="E31" s="3">
        <v>2414.13</v>
      </c>
      <c r="F31">
        <v>9840</v>
      </c>
      <c r="G31" s="54">
        <v>1662.17</v>
      </c>
      <c r="H31" s="17">
        <v>6480</v>
      </c>
      <c r="I31" s="3">
        <v>1315.28</v>
      </c>
      <c r="J31">
        <v>4360</v>
      </c>
      <c r="K31" s="6">
        <v>1101.68</v>
      </c>
      <c r="L31" s="27">
        <v>3120</v>
      </c>
      <c r="M31" s="26">
        <v>988.15</v>
      </c>
      <c r="O31" s="28">
        <v>3080</v>
      </c>
      <c r="P31" s="6">
        <v>1001.61</v>
      </c>
      <c r="Q31" s="17">
        <v>2000</v>
      </c>
      <c r="R31" s="6">
        <v>902.97</v>
      </c>
      <c r="S31" s="70">
        <v>2480</v>
      </c>
      <c r="T31" s="6">
        <v>592.05</v>
      </c>
      <c r="U31" s="17">
        <v>4160</v>
      </c>
      <c r="V31" s="6">
        <v>762.22</v>
      </c>
      <c r="W31" s="17">
        <v>8280</v>
      </c>
      <c r="X31" s="6">
        <v>896.96</v>
      </c>
      <c r="Y31" s="17">
        <v>7240</v>
      </c>
      <c r="Z31" s="6">
        <v>824.79</v>
      </c>
      <c r="AA31" s="17">
        <v>10760</v>
      </c>
      <c r="AB31" s="6">
        <v>1056.44</v>
      </c>
      <c r="AC31" t="e">
        <f>D31+F31+H31+L29+#REF!+O32+Q31+S31+U31+W31+Y31+AA31</f>
        <v>#REF!</v>
      </c>
      <c r="AD31">
        <f t="shared" si="0"/>
        <v>13518.449999999999</v>
      </c>
    </row>
    <row r="32" spans="1:30" ht="12.75">
      <c r="A32" s="6" t="s">
        <v>18</v>
      </c>
      <c r="B32" s="51" t="s">
        <v>142</v>
      </c>
      <c r="C32" s="28" t="s">
        <v>110</v>
      </c>
      <c r="D32">
        <v>4135</v>
      </c>
      <c r="E32" s="3">
        <v>533.55</v>
      </c>
      <c r="F32">
        <v>2803</v>
      </c>
      <c r="G32" s="54">
        <v>402.86</v>
      </c>
      <c r="H32" s="17">
        <v>2194</v>
      </c>
      <c r="I32" s="3">
        <v>340.53</v>
      </c>
      <c r="J32">
        <v>3865</v>
      </c>
      <c r="K32" s="6">
        <v>509.31</v>
      </c>
      <c r="L32" s="27">
        <v>4130</v>
      </c>
      <c r="M32" s="26">
        <v>532.98</v>
      </c>
      <c r="O32" s="28">
        <v>3202</v>
      </c>
      <c r="P32" s="6">
        <v>452.25</v>
      </c>
      <c r="Q32" s="17">
        <v>3205</v>
      </c>
      <c r="R32" s="6">
        <v>445.02</v>
      </c>
      <c r="S32" s="70">
        <v>2771</v>
      </c>
      <c r="T32" s="6">
        <v>399.29</v>
      </c>
      <c r="U32" s="17">
        <v>3022</v>
      </c>
      <c r="V32" s="6">
        <v>428.04</v>
      </c>
      <c r="W32" s="17">
        <v>4296</v>
      </c>
      <c r="X32" s="6">
        <v>429.94</v>
      </c>
      <c r="Y32" s="17">
        <v>4465</v>
      </c>
      <c r="Z32" s="6">
        <v>437.47</v>
      </c>
      <c r="AA32" s="17">
        <v>5900</v>
      </c>
      <c r="AB32" s="6">
        <v>541.35</v>
      </c>
      <c r="AC32" t="e">
        <f>D32+F32+H32+L30+#REF!+O33+Q32+S32+U32+W32+Y32+AA32</f>
        <v>#REF!</v>
      </c>
      <c r="AD32">
        <f t="shared" si="0"/>
        <v>5452.59</v>
      </c>
    </row>
    <row r="33" spans="1:30" ht="12.75">
      <c r="A33" s="6" t="s">
        <v>19</v>
      </c>
      <c r="B33" s="51" t="s">
        <v>143</v>
      </c>
      <c r="C33" s="28" t="s">
        <v>111</v>
      </c>
      <c r="D33">
        <v>12080</v>
      </c>
      <c r="E33" s="3">
        <v>1586.93</v>
      </c>
      <c r="F33">
        <v>9200</v>
      </c>
      <c r="G33" s="54">
        <v>1376.18</v>
      </c>
      <c r="H33" s="17">
        <v>7960</v>
      </c>
      <c r="I33" s="3">
        <v>1153.77</v>
      </c>
      <c r="J33">
        <v>8240</v>
      </c>
      <c r="K33" s="6">
        <v>1172.68</v>
      </c>
      <c r="L33" s="27">
        <v>6680</v>
      </c>
      <c r="M33" s="26">
        <v>1007.13</v>
      </c>
      <c r="O33" s="28">
        <v>7600</v>
      </c>
      <c r="P33" s="6">
        <v>1093.29</v>
      </c>
      <c r="Q33" s="17">
        <v>7240</v>
      </c>
      <c r="R33" s="6">
        <v>1055.45</v>
      </c>
      <c r="S33" s="70">
        <v>7000</v>
      </c>
      <c r="T33" s="6">
        <v>1055.88</v>
      </c>
      <c r="U33" s="17">
        <v>8080</v>
      </c>
      <c r="V33" s="6">
        <v>1158.43</v>
      </c>
      <c r="W33" s="17">
        <v>7800</v>
      </c>
      <c r="X33" s="6">
        <v>895.06</v>
      </c>
      <c r="Y33" s="17">
        <v>5320</v>
      </c>
      <c r="Z33" s="6">
        <v>709.88</v>
      </c>
      <c r="AA33" s="17">
        <v>8120</v>
      </c>
      <c r="AB33" s="6">
        <v>888.54</v>
      </c>
      <c r="AC33" t="e">
        <f>D33+F33+H33+L31+#REF!+O35+Q33+S33+U33+W33+Y33+AA33</f>
        <v>#REF!</v>
      </c>
      <c r="AD33">
        <f t="shared" si="0"/>
        <v>13153.220000000001</v>
      </c>
    </row>
    <row r="34" spans="1:30" ht="12.75">
      <c r="A34" s="6" t="s">
        <v>205</v>
      </c>
      <c r="B34" s="50" t="s">
        <v>144</v>
      </c>
      <c r="C34" s="27" t="s">
        <v>206</v>
      </c>
      <c r="D34" s="17"/>
      <c r="F34" s="17"/>
      <c r="G34" s="54"/>
      <c r="H34" s="17">
        <v>160</v>
      </c>
      <c r="I34" s="3">
        <v>91.91</v>
      </c>
      <c r="J34" s="17">
        <v>600</v>
      </c>
      <c r="K34" s="6">
        <v>86.99</v>
      </c>
      <c r="L34" s="89">
        <v>640</v>
      </c>
      <c r="M34" s="26">
        <v>89.9</v>
      </c>
      <c r="O34" s="28">
        <v>520</v>
      </c>
      <c r="P34" s="6">
        <v>82.31</v>
      </c>
      <c r="Q34" s="17">
        <v>440</v>
      </c>
      <c r="R34" s="57">
        <v>76.97</v>
      </c>
      <c r="S34" s="70">
        <v>760</v>
      </c>
      <c r="T34" s="6">
        <v>390.83</v>
      </c>
      <c r="U34" s="17">
        <v>720</v>
      </c>
      <c r="V34" s="6">
        <v>404.2</v>
      </c>
      <c r="W34" s="17">
        <v>960</v>
      </c>
      <c r="X34" s="6">
        <v>420.25</v>
      </c>
      <c r="Y34" s="17">
        <v>520</v>
      </c>
      <c r="Z34" s="6">
        <v>274</v>
      </c>
      <c r="AA34" s="17">
        <v>640</v>
      </c>
      <c r="AB34" s="6">
        <v>282.12</v>
      </c>
      <c r="AD34" s="17"/>
    </row>
    <row r="35" spans="1:30" s="38" customFormat="1" ht="12.75">
      <c r="A35" s="6" t="s">
        <v>21</v>
      </c>
      <c r="B35" s="51" t="s">
        <v>145</v>
      </c>
      <c r="C35" s="41" t="s">
        <v>113</v>
      </c>
      <c r="D35" s="38">
        <v>1439</v>
      </c>
      <c r="E35" s="3">
        <v>194.99</v>
      </c>
      <c r="F35" s="38">
        <v>621</v>
      </c>
      <c r="G35" s="54">
        <v>140.29</v>
      </c>
      <c r="H35" s="17">
        <v>1249</v>
      </c>
      <c r="I35" s="3">
        <v>281.12</v>
      </c>
      <c r="J35" s="38">
        <v>2390</v>
      </c>
      <c r="K35" s="57">
        <v>395.61</v>
      </c>
      <c r="L35" s="89">
        <v>1812</v>
      </c>
      <c r="M35" s="26">
        <v>327.99</v>
      </c>
      <c r="O35" s="28">
        <v>2201</v>
      </c>
      <c r="P35" s="6">
        <v>327.81</v>
      </c>
      <c r="Q35" s="17">
        <v>2111</v>
      </c>
      <c r="R35" s="6">
        <v>367.74</v>
      </c>
      <c r="S35" s="70">
        <v>853</v>
      </c>
      <c r="T35" s="6">
        <v>252.22</v>
      </c>
      <c r="U35" s="17">
        <v>1033</v>
      </c>
      <c r="V35" s="6">
        <v>218.53</v>
      </c>
      <c r="W35" s="17">
        <v>1018</v>
      </c>
      <c r="X35" s="3">
        <v>171.26</v>
      </c>
      <c r="Y35" s="17">
        <v>366</v>
      </c>
      <c r="Z35" s="6">
        <v>113.14</v>
      </c>
      <c r="AA35" s="17">
        <v>488</v>
      </c>
      <c r="AB35" s="6">
        <v>113.11</v>
      </c>
      <c r="AC35" t="e">
        <f>D35+F35+H35+L32+#REF!+O36+Q35+S35+U35+W35+Y35+AA35</f>
        <v>#REF!</v>
      </c>
      <c r="AD35">
        <f t="shared" si="0"/>
        <v>2903.8100000000004</v>
      </c>
    </row>
    <row r="36" spans="1:30" s="38" customFormat="1" ht="12.75">
      <c r="A36" s="38" t="s">
        <v>151</v>
      </c>
      <c r="B36" s="50" t="s">
        <v>152</v>
      </c>
      <c r="C36" s="27" t="s">
        <v>153</v>
      </c>
      <c r="D36" s="17">
        <v>0</v>
      </c>
      <c r="E36" s="58">
        <v>11.05</v>
      </c>
      <c r="F36" s="17">
        <v>0</v>
      </c>
      <c r="G36" s="74">
        <v>13.4</v>
      </c>
      <c r="H36" s="17">
        <v>0</v>
      </c>
      <c r="I36" s="58">
        <v>13.4</v>
      </c>
      <c r="J36" s="17">
        <v>40</v>
      </c>
      <c r="K36" s="57">
        <v>11.44</v>
      </c>
      <c r="L36" s="89">
        <v>0</v>
      </c>
      <c r="M36" s="41">
        <v>-28.53</v>
      </c>
      <c r="O36" s="28">
        <v>1</v>
      </c>
      <c r="P36" s="57">
        <v>40.21</v>
      </c>
      <c r="Q36" s="17">
        <v>0</v>
      </c>
      <c r="R36" s="57">
        <v>13.34</v>
      </c>
      <c r="S36" s="70">
        <v>0</v>
      </c>
      <c r="T36" s="57">
        <v>13.34</v>
      </c>
      <c r="U36" s="17">
        <v>0</v>
      </c>
      <c r="V36" s="57">
        <v>13.34</v>
      </c>
      <c r="W36" s="17">
        <v>0</v>
      </c>
      <c r="X36" s="57">
        <v>13.34</v>
      </c>
      <c r="Y36" s="17">
        <v>0</v>
      </c>
      <c r="Z36" s="57">
        <v>13.34</v>
      </c>
      <c r="AA36" s="17">
        <v>0</v>
      </c>
      <c r="AB36" s="57">
        <v>13.34</v>
      </c>
      <c r="AC36" s="38">
        <f>D36+F36+H36+L33+L36+O37+Q36+S36+U36+W36+Y36+AA36</f>
        <v>6924</v>
      </c>
      <c r="AD36" s="38">
        <f t="shared" si="0"/>
        <v>141.01000000000002</v>
      </c>
    </row>
    <row r="37" spans="1:30" ht="12.75">
      <c r="A37" s="6" t="s">
        <v>181</v>
      </c>
      <c r="B37" s="50" t="s">
        <v>182</v>
      </c>
      <c r="C37" s="27" t="s">
        <v>183</v>
      </c>
      <c r="D37" s="17">
        <v>270</v>
      </c>
      <c r="E37" s="3">
        <v>49.25</v>
      </c>
      <c r="F37" s="17">
        <v>242</v>
      </c>
      <c r="G37" s="54">
        <v>46.4</v>
      </c>
      <c r="H37" s="17">
        <v>244</v>
      </c>
      <c r="I37" s="3">
        <v>46.5</v>
      </c>
      <c r="J37" s="17">
        <v>111</v>
      </c>
      <c r="K37" s="6">
        <v>28.53</v>
      </c>
      <c r="L37" s="89">
        <v>266</v>
      </c>
      <c r="M37" s="26">
        <v>49.12</v>
      </c>
      <c r="O37" s="28">
        <v>244</v>
      </c>
      <c r="P37" s="6">
        <v>46.21</v>
      </c>
      <c r="Q37" s="17">
        <v>248</v>
      </c>
      <c r="R37" s="57">
        <v>47.56</v>
      </c>
      <c r="S37" s="70">
        <v>235</v>
      </c>
      <c r="T37" s="6">
        <v>45.93</v>
      </c>
      <c r="U37" s="17">
        <v>244</v>
      </c>
      <c r="V37" s="6">
        <v>47.01</v>
      </c>
      <c r="W37" s="17">
        <v>266</v>
      </c>
      <c r="X37" s="6">
        <v>42.18</v>
      </c>
      <c r="Y37" s="17">
        <v>247</v>
      </c>
      <c r="Z37" s="6">
        <v>40.03</v>
      </c>
      <c r="AA37" s="17">
        <v>299</v>
      </c>
      <c r="AB37" s="6">
        <v>45.82</v>
      </c>
      <c r="AD37" s="17">
        <f t="shared" si="0"/>
        <v>534.5400000000001</v>
      </c>
    </row>
    <row r="38" spans="1:30" ht="12.75">
      <c r="A38" s="26" t="s">
        <v>210</v>
      </c>
      <c r="B38" s="51" t="s">
        <v>211</v>
      </c>
      <c r="C38" s="27" t="s">
        <v>212</v>
      </c>
      <c r="D38" s="17"/>
      <c r="F38" s="17"/>
      <c r="G38" s="54"/>
      <c r="H38" s="17"/>
      <c r="I38" s="3"/>
      <c r="J38" s="17"/>
      <c r="L38" s="89"/>
      <c r="M38" s="26"/>
      <c r="O38" s="28">
        <v>1354</v>
      </c>
      <c r="P38" s="6">
        <v>144.85</v>
      </c>
      <c r="Q38" s="17">
        <v>2811</v>
      </c>
      <c r="R38" s="57">
        <v>198.22</v>
      </c>
      <c r="S38" s="70">
        <v>1261</v>
      </c>
      <c r="T38" s="57">
        <v>177.59</v>
      </c>
      <c r="U38" s="17">
        <v>1142</v>
      </c>
      <c r="V38" s="57">
        <v>153.82</v>
      </c>
      <c r="W38" s="17">
        <v>1590</v>
      </c>
      <c r="X38" s="57">
        <v>215.78</v>
      </c>
      <c r="Y38" s="17">
        <v>1066</v>
      </c>
      <c r="Z38" s="57">
        <v>124.69</v>
      </c>
      <c r="AA38" s="17">
        <v>1104</v>
      </c>
      <c r="AB38" s="6">
        <v>127.86</v>
      </c>
      <c r="AD38" s="17"/>
    </row>
    <row r="39" spans="1:30" ht="12.75">
      <c r="A39" s="26" t="s">
        <v>208</v>
      </c>
      <c r="B39" s="51" t="s">
        <v>209</v>
      </c>
      <c r="C39" s="27" t="s">
        <v>207</v>
      </c>
      <c r="D39" s="17"/>
      <c r="E39" s="10"/>
      <c r="F39" s="17"/>
      <c r="G39" s="90"/>
      <c r="H39" s="17"/>
      <c r="I39" s="10"/>
      <c r="J39" s="17"/>
      <c r="K39" s="8"/>
      <c r="L39" s="89">
        <v>4500</v>
      </c>
      <c r="M39" s="91">
        <v>1383.18</v>
      </c>
      <c r="O39" s="28">
        <v>36600</v>
      </c>
      <c r="P39" s="57">
        <v>2978.43</v>
      </c>
      <c r="Q39" s="17">
        <v>25500</v>
      </c>
      <c r="R39" s="57">
        <v>3350.5</v>
      </c>
      <c r="S39" s="70">
        <v>23400</v>
      </c>
      <c r="T39" s="57">
        <v>3020.59</v>
      </c>
      <c r="U39" s="17">
        <v>29700</v>
      </c>
      <c r="V39" s="57">
        <v>4164.77</v>
      </c>
      <c r="W39" s="17">
        <v>47700</v>
      </c>
      <c r="X39" s="57">
        <v>7347.56</v>
      </c>
      <c r="Y39" s="17">
        <v>75000</v>
      </c>
      <c r="Z39" s="57">
        <v>8624.23</v>
      </c>
      <c r="AA39" s="17">
        <v>83700</v>
      </c>
      <c r="AB39" s="6">
        <v>9916.83</v>
      </c>
      <c r="AD39" s="17"/>
    </row>
    <row r="40" spans="1:34" s="61" customFormat="1" ht="12.75">
      <c r="A40" s="59"/>
      <c r="B40" s="60"/>
      <c r="D40" s="61">
        <f aca="true" t="shared" si="1" ref="D40:K40">SUM(D4:D37)</f>
        <v>586315.995</v>
      </c>
      <c r="E40" s="61">
        <f t="shared" si="1"/>
        <v>77383.85000000002</v>
      </c>
      <c r="F40" s="61">
        <f t="shared" si="1"/>
        <v>400655.99</v>
      </c>
      <c r="G40" s="61">
        <f t="shared" si="1"/>
        <v>59060.7</v>
      </c>
      <c r="H40" s="61">
        <f t="shared" si="1"/>
        <v>315327.04000000004</v>
      </c>
      <c r="I40" s="61">
        <f t="shared" si="1"/>
        <v>49779.68000000001</v>
      </c>
      <c r="J40" s="61">
        <f t="shared" si="1"/>
        <v>309415.515</v>
      </c>
      <c r="K40" s="61">
        <f t="shared" si="1"/>
        <v>50049.59</v>
      </c>
      <c r="L40" s="61">
        <f>SUM(L4:L39)</f>
        <v>285035.575</v>
      </c>
      <c r="M40" s="92">
        <f>SUM(M4:M39)</f>
        <v>47274.18000000001</v>
      </c>
      <c r="O40" s="61">
        <f aca="true" t="shared" si="2" ref="O40:T40">SUM(O4:O39)</f>
        <v>348888.03</v>
      </c>
      <c r="P40" s="61">
        <f t="shared" si="2"/>
        <v>51963.30999999999</v>
      </c>
      <c r="Q40" s="61">
        <f t="shared" si="2"/>
        <v>310738.95999999996</v>
      </c>
      <c r="R40" s="61">
        <f t="shared" si="2"/>
        <v>51084.41999999999</v>
      </c>
      <c r="S40" s="61">
        <f t="shared" si="2"/>
        <v>302801.48</v>
      </c>
      <c r="T40" s="61">
        <f t="shared" si="2"/>
        <v>49465.40999999999</v>
      </c>
      <c r="U40" s="61">
        <f aca="true" t="shared" si="3" ref="U40:Z40">SUM(U4:U39)</f>
        <v>368104.11</v>
      </c>
      <c r="V40" s="61">
        <f t="shared" si="3"/>
        <v>56155.119999999995</v>
      </c>
      <c r="W40" s="61">
        <f t="shared" si="3"/>
        <v>417041.78</v>
      </c>
      <c r="X40" s="61">
        <f t="shared" si="3"/>
        <v>52147.67999999999</v>
      </c>
      <c r="Y40" s="61">
        <f t="shared" si="3"/>
        <v>391007.405</v>
      </c>
      <c r="Z40" s="61">
        <f t="shared" si="3"/>
        <v>48226.19</v>
      </c>
      <c r="AA40" s="61">
        <f>SUM(AA4:AA39)</f>
        <v>499255.04</v>
      </c>
      <c r="AB40" s="62">
        <f>SUM(AB4:AB39)</f>
        <v>57455.93</v>
      </c>
      <c r="AC40" s="59" t="e">
        <f>SUM(AC4:AC36)</f>
        <v>#REF!</v>
      </c>
      <c r="AD40" s="61">
        <f>SUM(AD4:AD37)</f>
        <v>605177.94</v>
      </c>
      <c r="AE40" s="59"/>
      <c r="AF40" s="59"/>
      <c r="AG40" s="59"/>
      <c r="AH40" s="59"/>
    </row>
    <row r="63813" spans="19:22" ht="12.75">
      <c r="S63813" s="66"/>
      <c r="T63813" s="3"/>
      <c r="V63813" s="3"/>
    </row>
    <row r="63815" ht="12.75">
      <c r="Q63815" t="e">
        <f>SUM(#REF!)</f>
        <v>#REF!</v>
      </c>
    </row>
  </sheetData>
  <sheetProtection/>
  <mergeCells count="12">
    <mergeCell ref="D1:E1"/>
    <mergeCell ref="F1:G1"/>
    <mergeCell ref="H1:I1"/>
    <mergeCell ref="J1:K1"/>
    <mergeCell ref="L1:M1"/>
    <mergeCell ref="O1:P1"/>
    <mergeCell ref="Q1:R1"/>
    <mergeCell ref="S1:T1"/>
    <mergeCell ref="U1:V1"/>
    <mergeCell ref="W1:X1"/>
    <mergeCell ref="Y1:Z1"/>
    <mergeCell ref="AA1:A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shipju</dc:creator>
  <cp:keywords/>
  <dc:description/>
  <cp:lastModifiedBy>Judy D. Shipman</cp:lastModifiedBy>
  <cp:lastPrinted>2013-06-18T14:54:01Z</cp:lastPrinted>
  <dcterms:created xsi:type="dcterms:W3CDTF">2005-05-16T18:01:55Z</dcterms:created>
  <dcterms:modified xsi:type="dcterms:W3CDTF">2014-09-02T20:21:10Z</dcterms:modified>
  <cp:category/>
  <cp:version/>
  <cp:contentType/>
  <cp:contentStatus/>
</cp:coreProperties>
</file>